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pital\Ang Servicing\Template\"/>
    </mc:Choice>
  </mc:AlternateContent>
  <xr:revisionPtr revIDLastSave="0" documentId="13_ncr:1_{DE72501B-81B5-43BB-A181-993DF117EED8}" xr6:coauthVersionLast="47" xr6:coauthVersionMax="47" xr10:uidLastSave="{00000000-0000-0000-0000-000000000000}"/>
  <bookViews>
    <workbookView xWindow="19080" yWindow="-120" windowWidth="19440" windowHeight="15000" tabRatio="698" firstSheet="1" activeTab="1" xr2:uid="{7B843772-6602-448B-BE39-AB469C0C5F2B}"/>
  </bookViews>
  <sheets>
    <sheet name="WRITE-UP" sheetId="1" state="hidden" r:id="rId1"/>
    <sheet name="PROFORMA - TH" sheetId="3" r:id="rId2"/>
    <sheet name="picklist data" sheetId="2" state="hidden" r:id="rId3"/>
    <sheet name="PROFORMA NEW SFR" sheetId="9" state="hidden" r:id="rId4"/>
    <sheet name="PROFORMA REHAB" sheetId="10" state="hidden" r:id="rId5"/>
  </sheets>
  <definedNames>
    <definedName name="_xlnm.Print_Area" localSheetId="0">'WRITE-UP'!$A$113</definedName>
  </definedNames>
  <calcPr calcId="191029"/>
  <customWorkbookViews>
    <customWorkbookView name="Default" guid="{EBDC4E83-090A-4517-8038-A829E1104B47}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10" l="1"/>
  <c r="H91" i="10"/>
  <c r="M88" i="10"/>
  <c r="L84" i="10"/>
  <c r="M89" i="10" s="1"/>
  <c r="M76" i="10"/>
  <c r="L71" i="10"/>
  <c r="C108" i="10" s="1"/>
  <c r="T58" i="10"/>
  <c r="T61" i="10" s="1"/>
  <c r="Q58" i="10"/>
  <c r="Q61" i="10" s="1"/>
  <c r="M58" i="10"/>
  <c r="M61" i="10" s="1"/>
  <c r="K58" i="10"/>
  <c r="K3" i="10" s="1"/>
  <c r="C66" i="10" s="1"/>
  <c r="U57" i="10"/>
  <c r="R57" i="10"/>
  <c r="O57" i="10"/>
  <c r="U56" i="10"/>
  <c r="R56" i="10"/>
  <c r="O56" i="10"/>
  <c r="U55" i="10"/>
  <c r="R55" i="10"/>
  <c r="O55" i="10"/>
  <c r="U54" i="10"/>
  <c r="R54" i="10"/>
  <c r="O54" i="10"/>
  <c r="U53" i="10"/>
  <c r="R53" i="10"/>
  <c r="O53" i="10"/>
  <c r="U52" i="10"/>
  <c r="R52" i="10"/>
  <c r="O52" i="10"/>
  <c r="U51" i="10"/>
  <c r="R51" i="10"/>
  <c r="O51" i="10"/>
  <c r="U50" i="10"/>
  <c r="R50" i="10"/>
  <c r="O50" i="10"/>
  <c r="U49" i="10"/>
  <c r="R49" i="10"/>
  <c r="O49" i="10"/>
  <c r="U48" i="10"/>
  <c r="R48" i="10"/>
  <c r="O48" i="10"/>
  <c r="U47" i="10"/>
  <c r="R47" i="10"/>
  <c r="O47" i="10"/>
  <c r="U46" i="10"/>
  <c r="L46" i="10"/>
  <c r="L58" i="10" s="1"/>
  <c r="M39" i="10"/>
  <c r="K82" i="10" s="1"/>
  <c r="K89" i="10" s="1"/>
  <c r="M17" i="10"/>
  <c r="M16" i="10"/>
  <c r="M22" i="10" s="1"/>
  <c r="K4" i="10"/>
  <c r="E104" i="10" s="1"/>
  <c r="H117" i="9"/>
  <c r="H91" i="9"/>
  <c r="M88" i="9"/>
  <c r="L84" i="9"/>
  <c r="M89" i="9" s="1"/>
  <c r="M76" i="9"/>
  <c r="L71" i="9"/>
  <c r="C108" i="9" s="1"/>
  <c r="T58" i="9"/>
  <c r="Q58" i="9"/>
  <c r="Q61" i="9" s="1"/>
  <c r="K58" i="9"/>
  <c r="K3" i="9" s="1"/>
  <c r="D111" i="9" s="1"/>
  <c r="U57" i="9"/>
  <c r="R57" i="9"/>
  <c r="O57" i="9"/>
  <c r="U56" i="9"/>
  <c r="R56" i="9"/>
  <c r="O56" i="9"/>
  <c r="U55" i="9"/>
  <c r="R55" i="9"/>
  <c r="O55" i="9"/>
  <c r="U54" i="9"/>
  <c r="R54" i="9"/>
  <c r="O54" i="9"/>
  <c r="U53" i="9"/>
  <c r="R53" i="9"/>
  <c r="O53" i="9"/>
  <c r="U52" i="9"/>
  <c r="R52" i="9"/>
  <c r="O52" i="9"/>
  <c r="U51" i="9"/>
  <c r="R51" i="9"/>
  <c r="O51" i="9"/>
  <c r="U50" i="9"/>
  <c r="R50" i="9"/>
  <c r="O50" i="9"/>
  <c r="U49" i="9"/>
  <c r="R49" i="9"/>
  <c r="U48" i="9"/>
  <c r="R48" i="9"/>
  <c r="U47" i="9"/>
  <c r="R47" i="9"/>
  <c r="U46" i="9"/>
  <c r="L46" i="9"/>
  <c r="L58" i="9" s="1"/>
  <c r="M39" i="9"/>
  <c r="M17" i="9"/>
  <c r="M16" i="9"/>
  <c r="M22" i="9" s="1"/>
  <c r="K4" i="9"/>
  <c r="E53" i="9" s="1"/>
  <c r="H119" i="9" l="1"/>
  <c r="R46" i="10"/>
  <c r="C20" i="10"/>
  <c r="E20" i="10" s="1"/>
  <c r="C13" i="10"/>
  <c r="E13" i="10" s="1"/>
  <c r="L76" i="10"/>
  <c r="L82" i="10" s="1"/>
  <c r="N82" i="10" s="1"/>
  <c r="R46" i="9"/>
  <c r="O58" i="10"/>
  <c r="U58" i="10" s="1"/>
  <c r="O11" i="10"/>
  <c r="E18" i="10"/>
  <c r="O46" i="10"/>
  <c r="E66" i="10"/>
  <c r="D66" i="10"/>
  <c r="O22" i="10"/>
  <c r="Y21" i="10"/>
  <c r="D17" i="10"/>
  <c r="D25" i="10"/>
  <c r="D26" i="10"/>
  <c r="E27" i="10"/>
  <c r="E33" i="10"/>
  <c r="D36" i="10"/>
  <c r="C41" i="10"/>
  <c r="C52" i="10"/>
  <c r="E53" i="10"/>
  <c r="C54" i="10"/>
  <c r="M62" i="10"/>
  <c r="N61" i="10"/>
  <c r="C63" i="10"/>
  <c r="E70" i="10"/>
  <c r="C72" i="10"/>
  <c r="C74" i="10"/>
  <c r="D84" i="10"/>
  <c r="D86" i="10"/>
  <c r="D98" i="10"/>
  <c r="C101" i="10"/>
  <c r="D111" i="10"/>
  <c r="D114" i="10"/>
  <c r="E118" i="10"/>
  <c r="E115" i="10"/>
  <c r="E110" i="10"/>
  <c r="E87" i="10"/>
  <c r="C82" i="10"/>
  <c r="E76" i="10"/>
  <c r="C67" i="10"/>
  <c r="C61" i="10"/>
  <c r="C58" i="10"/>
  <c r="E55" i="10"/>
  <c r="C51" i="10"/>
  <c r="C49" i="10"/>
  <c r="C47" i="10"/>
  <c r="C43" i="10"/>
  <c r="E36" i="10"/>
  <c r="C35" i="10"/>
  <c r="C34" i="10"/>
  <c r="C112" i="10"/>
  <c r="C107" i="10"/>
  <c r="E103" i="10"/>
  <c r="C99" i="10"/>
  <c r="E85" i="10"/>
  <c r="E84" i="10"/>
  <c r="C71" i="10"/>
  <c r="C68" i="10"/>
  <c r="E60" i="10"/>
  <c r="C59" i="10"/>
  <c r="C44" i="10"/>
  <c r="E42" i="10"/>
  <c r="C12" i="10"/>
  <c r="E17" i="10"/>
  <c r="D22" i="10"/>
  <c r="D23" i="10"/>
  <c r="D24" i="10"/>
  <c r="E25" i="10"/>
  <c r="E26" i="10"/>
  <c r="D38" i="10"/>
  <c r="C40" i="10"/>
  <c r="C57" i="10"/>
  <c r="C78" i="10"/>
  <c r="C80" i="10"/>
  <c r="E86" i="10"/>
  <c r="C97" i="10"/>
  <c r="E98" i="10"/>
  <c r="C105" i="10"/>
  <c r="E108" i="10"/>
  <c r="D108" i="10"/>
  <c r="E111" i="10"/>
  <c r="E114" i="10"/>
  <c r="H119" i="10"/>
  <c r="D104" i="10"/>
  <c r="D102" i="10"/>
  <c r="D96" i="10"/>
  <c r="C75" i="10"/>
  <c r="C56" i="10"/>
  <c r="D53" i="10"/>
  <c r="D118" i="10"/>
  <c r="D115" i="10"/>
  <c r="D110" i="10"/>
  <c r="C93" i="10"/>
  <c r="D87" i="10"/>
  <c r="D76" i="10"/>
  <c r="D55" i="10"/>
  <c r="N14" i="10"/>
  <c r="N15" i="10"/>
  <c r="E22" i="10"/>
  <c r="E23" i="10"/>
  <c r="E24" i="10"/>
  <c r="C29" i="10"/>
  <c r="C30" i="10"/>
  <c r="C31" i="10"/>
  <c r="C32" i="10"/>
  <c r="C37" i="10"/>
  <c r="E38" i="10"/>
  <c r="D42" i="10"/>
  <c r="C45" i="10"/>
  <c r="C48" i="10"/>
  <c r="R58" i="10"/>
  <c r="D60" i="10"/>
  <c r="R61" i="10"/>
  <c r="Q62" i="10"/>
  <c r="R62" i="10" s="1"/>
  <c r="C69" i="10"/>
  <c r="K71" i="10"/>
  <c r="C73" i="10"/>
  <c r="C83" i="10"/>
  <c r="D88" i="10"/>
  <c r="E96" i="10"/>
  <c r="E102" i="10"/>
  <c r="D106" i="10"/>
  <c r="D109" i="10"/>
  <c r="D116" i="10"/>
  <c r="C14" i="10"/>
  <c r="C15" i="10"/>
  <c r="C16" i="10"/>
  <c r="N16" i="10"/>
  <c r="D18" i="10"/>
  <c r="C19" i="10"/>
  <c r="W21" i="10"/>
  <c r="D27" i="10"/>
  <c r="D33" i="10"/>
  <c r="C46" i="10"/>
  <c r="C50" i="10"/>
  <c r="T62" i="10"/>
  <c r="U62" i="10" s="1"/>
  <c r="U61" i="10"/>
  <c r="C62" i="10"/>
  <c r="C65" i="10"/>
  <c r="D70" i="10"/>
  <c r="C77" i="10"/>
  <c r="C79" i="10"/>
  <c r="D85" i="10"/>
  <c r="E88" i="10"/>
  <c r="C100" i="10"/>
  <c r="D103" i="10"/>
  <c r="E106" i="10"/>
  <c r="E109" i="10"/>
  <c r="C113" i="10"/>
  <c r="E116" i="10"/>
  <c r="O11" i="9"/>
  <c r="N14" i="9"/>
  <c r="C20" i="9"/>
  <c r="E20" i="9" s="1"/>
  <c r="E27" i="9"/>
  <c r="E38" i="9"/>
  <c r="C15" i="9"/>
  <c r="E15" i="9" s="1"/>
  <c r="E22" i="9"/>
  <c r="C29" i="9"/>
  <c r="C31" i="9"/>
  <c r="E33" i="9"/>
  <c r="O46" i="9"/>
  <c r="C80" i="9"/>
  <c r="D80" i="9" s="1"/>
  <c r="C13" i="9"/>
  <c r="E13" i="9" s="1"/>
  <c r="N15" i="9"/>
  <c r="E18" i="9"/>
  <c r="E23" i="9"/>
  <c r="C34" i="9"/>
  <c r="E34" i="9" s="1"/>
  <c r="E42" i="9"/>
  <c r="C49" i="9"/>
  <c r="E49" i="9" s="1"/>
  <c r="E102" i="9"/>
  <c r="C14" i="9"/>
  <c r="E14" i="9" s="1"/>
  <c r="C16" i="9"/>
  <c r="E16" i="9" s="1"/>
  <c r="C19" i="9"/>
  <c r="E19" i="9" s="1"/>
  <c r="E24" i="9"/>
  <c r="C30" i="9"/>
  <c r="C32" i="9"/>
  <c r="C37" i="9"/>
  <c r="E37" i="9" s="1"/>
  <c r="C46" i="9"/>
  <c r="E46" i="9" s="1"/>
  <c r="O22" i="9"/>
  <c r="Y21" i="9"/>
  <c r="T61" i="9"/>
  <c r="C62" i="9"/>
  <c r="D70" i="9"/>
  <c r="C73" i="9"/>
  <c r="D109" i="9"/>
  <c r="D116" i="9"/>
  <c r="E118" i="9"/>
  <c r="E115" i="9"/>
  <c r="E110" i="9"/>
  <c r="E87" i="9"/>
  <c r="C82" i="9"/>
  <c r="E76" i="9"/>
  <c r="C67" i="9"/>
  <c r="C61" i="9"/>
  <c r="C58" i="9"/>
  <c r="E55" i="9"/>
  <c r="C51" i="9"/>
  <c r="C48" i="9"/>
  <c r="C47" i="9"/>
  <c r="C43" i="9"/>
  <c r="E36" i="9"/>
  <c r="C35" i="9"/>
  <c r="C112" i="9"/>
  <c r="C107" i="9"/>
  <c r="E103" i="9"/>
  <c r="C99" i="9"/>
  <c r="E85" i="9"/>
  <c r="E84" i="9"/>
  <c r="C71" i="9"/>
  <c r="C68" i="9"/>
  <c r="E60" i="9"/>
  <c r="C59" i="9"/>
  <c r="E116" i="9"/>
  <c r="E114" i="9"/>
  <c r="C113" i="9"/>
  <c r="E111" i="9"/>
  <c r="E109" i="9"/>
  <c r="E106" i="9"/>
  <c r="C105" i="9"/>
  <c r="C100" i="9"/>
  <c r="E98" i="9"/>
  <c r="C97" i="9"/>
  <c r="E88" i="9"/>
  <c r="E86" i="9"/>
  <c r="C83" i="9"/>
  <c r="E70" i="9"/>
  <c r="C69" i="9"/>
  <c r="C57" i="9"/>
  <c r="C45" i="9"/>
  <c r="C12" i="9"/>
  <c r="E17" i="9"/>
  <c r="D22" i="9"/>
  <c r="D23" i="9"/>
  <c r="D24" i="9"/>
  <c r="E25" i="9"/>
  <c r="E26" i="9"/>
  <c r="D36" i="9"/>
  <c r="K82" i="9"/>
  <c r="K71" i="9"/>
  <c r="C41" i="9"/>
  <c r="C44" i="9"/>
  <c r="O47" i="9"/>
  <c r="C66" i="9"/>
  <c r="C74" i="9"/>
  <c r="C77" i="9"/>
  <c r="D98" i="9"/>
  <c r="E104" i="9"/>
  <c r="D104" i="9"/>
  <c r="D102" i="9"/>
  <c r="D96" i="9"/>
  <c r="C75" i="9"/>
  <c r="C56" i="9"/>
  <c r="D53" i="9"/>
  <c r="D118" i="9"/>
  <c r="D115" i="9"/>
  <c r="D110" i="9"/>
  <c r="C93" i="9"/>
  <c r="D87" i="9"/>
  <c r="D76" i="9"/>
  <c r="D55" i="9"/>
  <c r="D103" i="9"/>
  <c r="D85" i="9"/>
  <c r="D84" i="9"/>
  <c r="C63" i="9"/>
  <c r="D60" i="9"/>
  <c r="C52" i="9"/>
  <c r="C50" i="9"/>
  <c r="D42" i="9"/>
  <c r="D26" i="9"/>
  <c r="D38" i="9"/>
  <c r="C40" i="9"/>
  <c r="C54" i="9"/>
  <c r="C65" i="9"/>
  <c r="E108" i="9"/>
  <c r="D108" i="9"/>
  <c r="C78" i="9"/>
  <c r="D86" i="9"/>
  <c r="E96" i="9"/>
  <c r="D106" i="9"/>
  <c r="D17" i="9"/>
  <c r="D25" i="9"/>
  <c r="O48" i="9"/>
  <c r="O49" i="9"/>
  <c r="N16" i="9"/>
  <c r="D18" i="9"/>
  <c r="W21" i="9"/>
  <c r="D27" i="9"/>
  <c r="D33" i="9"/>
  <c r="R58" i="9"/>
  <c r="Q62" i="9"/>
  <c r="R62" i="9" s="1"/>
  <c r="R61" i="9"/>
  <c r="C72" i="9"/>
  <c r="C79" i="9"/>
  <c r="D88" i="9"/>
  <c r="C101" i="9"/>
  <c r="D114" i="9"/>
  <c r="L76" i="9"/>
  <c r="L82" i="9" s="1"/>
  <c r="D13" i="10" l="1"/>
  <c r="D15" i="9"/>
  <c r="D46" i="9"/>
  <c r="D20" i="10"/>
  <c r="D16" i="9"/>
  <c r="D19" i="9"/>
  <c r="E80" i="9"/>
  <c r="E14" i="10"/>
  <c r="D14" i="10"/>
  <c r="E73" i="10"/>
  <c r="D73" i="10"/>
  <c r="E45" i="10"/>
  <c r="D45" i="10"/>
  <c r="D32" i="10"/>
  <c r="E32" i="10"/>
  <c r="E105" i="10"/>
  <c r="D105" i="10"/>
  <c r="E57" i="10"/>
  <c r="D57" i="10"/>
  <c r="D68" i="10"/>
  <c r="E68" i="10"/>
  <c r="D99" i="10"/>
  <c r="E99" i="10"/>
  <c r="D34" i="10"/>
  <c r="E34" i="10"/>
  <c r="E47" i="10"/>
  <c r="D47" i="10"/>
  <c r="E58" i="10"/>
  <c r="D58" i="10"/>
  <c r="D82" i="10"/>
  <c r="E82" i="10"/>
  <c r="E74" i="10"/>
  <c r="D74" i="10"/>
  <c r="E65" i="10"/>
  <c r="D65" i="10"/>
  <c r="N71" i="10"/>
  <c r="K76" i="10"/>
  <c r="D31" i="10"/>
  <c r="E31" i="10"/>
  <c r="D93" i="10"/>
  <c r="M11" i="10"/>
  <c r="E93" i="10"/>
  <c r="E80" i="10"/>
  <c r="D80" i="10"/>
  <c r="D40" i="10"/>
  <c r="E40" i="10"/>
  <c r="D44" i="10"/>
  <c r="E44" i="10"/>
  <c r="D71" i="10"/>
  <c r="E71" i="10"/>
  <c r="E35" i="10"/>
  <c r="D35" i="10"/>
  <c r="E49" i="10"/>
  <c r="D49" i="10"/>
  <c r="D61" i="10"/>
  <c r="E61" i="10"/>
  <c r="E72" i="10"/>
  <c r="D72" i="10"/>
  <c r="E52" i="10"/>
  <c r="D52" i="10"/>
  <c r="E79" i="10"/>
  <c r="D79" i="10"/>
  <c r="T63" i="10"/>
  <c r="E50" i="10"/>
  <c r="D50" i="10"/>
  <c r="W24" i="10"/>
  <c r="W23" i="10"/>
  <c r="D16" i="10"/>
  <c r="E16" i="10"/>
  <c r="E69" i="10"/>
  <c r="D69" i="10"/>
  <c r="D30" i="10"/>
  <c r="E30" i="10"/>
  <c r="E56" i="10"/>
  <c r="D56" i="10"/>
  <c r="E97" i="10"/>
  <c r="D97" i="10"/>
  <c r="E78" i="10"/>
  <c r="D78" i="10"/>
  <c r="D59" i="10"/>
  <c r="E59" i="10"/>
  <c r="D107" i="10"/>
  <c r="E107" i="10"/>
  <c r="D51" i="10"/>
  <c r="E51" i="10"/>
  <c r="D67" i="10"/>
  <c r="E67" i="10"/>
  <c r="M63" i="10"/>
  <c r="N62" i="10"/>
  <c r="D41" i="10"/>
  <c r="E41" i="10"/>
  <c r="E113" i="10"/>
  <c r="D113" i="10"/>
  <c r="E100" i="10"/>
  <c r="D100" i="10"/>
  <c r="E77" i="10"/>
  <c r="D77" i="10"/>
  <c r="E62" i="10"/>
  <c r="D62" i="10"/>
  <c r="E46" i="10"/>
  <c r="D46" i="10"/>
  <c r="E19" i="10"/>
  <c r="D19" i="10"/>
  <c r="E15" i="10"/>
  <c r="D15" i="10"/>
  <c r="E83" i="10"/>
  <c r="D83" i="10"/>
  <c r="E48" i="10"/>
  <c r="D48" i="10"/>
  <c r="E37" i="10"/>
  <c r="D37" i="10"/>
  <c r="D29" i="10"/>
  <c r="K11" i="10"/>
  <c r="E29" i="10"/>
  <c r="E75" i="10"/>
  <c r="D75" i="10"/>
  <c r="Q63" i="10"/>
  <c r="C89" i="10"/>
  <c r="N83" i="10"/>
  <c r="E12" i="10"/>
  <c r="D12" i="10"/>
  <c r="D112" i="10"/>
  <c r="E112" i="10"/>
  <c r="D43" i="10"/>
  <c r="E43" i="10"/>
  <c r="E101" i="10"/>
  <c r="D101" i="10"/>
  <c r="E63" i="10"/>
  <c r="D63" i="10"/>
  <c r="E54" i="10"/>
  <c r="D54" i="10"/>
  <c r="D49" i="9"/>
  <c r="D13" i="9"/>
  <c r="D37" i="9"/>
  <c r="D20" i="9"/>
  <c r="D30" i="9"/>
  <c r="E30" i="9"/>
  <c r="D31" i="9"/>
  <c r="E31" i="9"/>
  <c r="D29" i="9"/>
  <c r="E29" i="9"/>
  <c r="D34" i="9"/>
  <c r="D14" i="9"/>
  <c r="D32" i="9"/>
  <c r="E32" i="9"/>
  <c r="E52" i="9"/>
  <c r="D52" i="9"/>
  <c r="E45" i="9"/>
  <c r="D45" i="9"/>
  <c r="E67" i="9"/>
  <c r="D67" i="9"/>
  <c r="E73" i="9"/>
  <c r="D73" i="9"/>
  <c r="E79" i="9"/>
  <c r="D79" i="9"/>
  <c r="Q63" i="9"/>
  <c r="D93" i="9"/>
  <c r="M11" i="9"/>
  <c r="E93" i="9"/>
  <c r="E77" i="9"/>
  <c r="D77" i="9"/>
  <c r="K89" i="9"/>
  <c r="N82" i="9"/>
  <c r="E57" i="9"/>
  <c r="D57" i="9"/>
  <c r="E100" i="9"/>
  <c r="D100" i="9"/>
  <c r="D59" i="9"/>
  <c r="E59" i="9"/>
  <c r="D107" i="9"/>
  <c r="E107" i="9"/>
  <c r="E43" i="9"/>
  <c r="D43" i="9"/>
  <c r="D40" i="9"/>
  <c r="E40" i="9"/>
  <c r="N71" i="9"/>
  <c r="K76" i="9"/>
  <c r="E72" i="9"/>
  <c r="D72" i="9"/>
  <c r="W24" i="9"/>
  <c r="W23" i="9"/>
  <c r="E65" i="9"/>
  <c r="D65" i="9"/>
  <c r="E63" i="9"/>
  <c r="D63" i="9"/>
  <c r="E56" i="9"/>
  <c r="D56" i="9"/>
  <c r="E74" i="9"/>
  <c r="D74" i="9"/>
  <c r="D44" i="9"/>
  <c r="E44" i="9"/>
  <c r="E69" i="9"/>
  <c r="D69" i="9"/>
  <c r="E105" i="9"/>
  <c r="D105" i="9"/>
  <c r="E113" i="9"/>
  <c r="D113" i="9"/>
  <c r="D112" i="9"/>
  <c r="E112" i="9"/>
  <c r="E47" i="9"/>
  <c r="D47" i="9"/>
  <c r="E58" i="9"/>
  <c r="D58" i="9"/>
  <c r="E82" i="9"/>
  <c r="D82" i="9"/>
  <c r="E62" i="9"/>
  <c r="D62" i="9"/>
  <c r="E83" i="9"/>
  <c r="D83" i="9"/>
  <c r="D71" i="9"/>
  <c r="E71" i="9"/>
  <c r="E51" i="9"/>
  <c r="D51" i="9"/>
  <c r="T62" i="9"/>
  <c r="U62" i="9" s="1"/>
  <c r="U61" i="9"/>
  <c r="E101" i="9"/>
  <c r="D101" i="9"/>
  <c r="E78" i="9"/>
  <c r="D78" i="9"/>
  <c r="E54" i="9"/>
  <c r="D54" i="9"/>
  <c r="E50" i="9"/>
  <c r="D50" i="9"/>
  <c r="E75" i="9"/>
  <c r="D75" i="9"/>
  <c r="E66" i="9"/>
  <c r="D66" i="9"/>
  <c r="D41" i="9"/>
  <c r="E41" i="9"/>
  <c r="C89" i="9"/>
  <c r="C90" i="9" s="1"/>
  <c r="N83" i="9"/>
  <c r="E12" i="9"/>
  <c r="D12" i="9"/>
  <c r="E97" i="9"/>
  <c r="D97" i="9"/>
  <c r="D68" i="9"/>
  <c r="E68" i="9"/>
  <c r="D99" i="9"/>
  <c r="E99" i="9"/>
  <c r="D35" i="9"/>
  <c r="K11" i="9"/>
  <c r="E35" i="9"/>
  <c r="E48" i="9"/>
  <c r="D48" i="9"/>
  <c r="E61" i="9"/>
  <c r="D61" i="9"/>
  <c r="M58" i="9"/>
  <c r="T63" i="9" l="1"/>
  <c r="U63" i="9" s="1"/>
  <c r="W25" i="10"/>
  <c r="C90" i="10"/>
  <c r="C94" i="10"/>
  <c r="R63" i="10"/>
  <c r="C95" i="10"/>
  <c r="N63" i="10"/>
  <c r="N76" i="10"/>
  <c r="K88" i="10"/>
  <c r="E89" i="10"/>
  <c r="D89" i="10"/>
  <c r="U63" i="10"/>
  <c r="E90" i="9"/>
  <c r="D90" i="9"/>
  <c r="R63" i="9"/>
  <c r="M61" i="9"/>
  <c r="O58" i="9"/>
  <c r="U58" i="9" s="1"/>
  <c r="E89" i="9"/>
  <c r="D89" i="9"/>
  <c r="C95" i="9"/>
  <c r="C94" i="9"/>
  <c r="C91" i="9"/>
  <c r="W25" i="9"/>
  <c r="N76" i="9"/>
  <c r="K88" i="9"/>
  <c r="E91" i="9" l="1"/>
  <c r="E90" i="10"/>
  <c r="E91" i="10" s="1"/>
  <c r="D90" i="10"/>
  <c r="D91" i="10" s="1"/>
  <c r="C91" i="10"/>
  <c r="M92" i="10"/>
  <c r="M91" i="10"/>
  <c r="M90" i="10"/>
  <c r="M96" i="10"/>
  <c r="M93" i="10"/>
  <c r="K97" i="10"/>
  <c r="L88" i="10" s="1"/>
  <c r="M94" i="10"/>
  <c r="M95" i="10"/>
  <c r="E95" i="10"/>
  <c r="D95" i="10"/>
  <c r="E94" i="10"/>
  <c r="D94" i="10"/>
  <c r="M23" i="10"/>
  <c r="C117" i="10"/>
  <c r="D91" i="9"/>
  <c r="E95" i="9"/>
  <c r="D95" i="9"/>
  <c r="M62" i="9"/>
  <c r="N62" i="9" s="1"/>
  <c r="N61" i="9"/>
  <c r="E94" i="9"/>
  <c r="D94" i="9"/>
  <c r="M23" i="9"/>
  <c r="C117" i="9"/>
  <c r="C119" i="9" s="1"/>
  <c r="M92" i="9"/>
  <c r="M91" i="9"/>
  <c r="M90" i="9"/>
  <c r="M96" i="9"/>
  <c r="M93" i="9"/>
  <c r="M94" i="9"/>
  <c r="M95" i="9"/>
  <c r="K97" i="9"/>
  <c r="D117" i="9" l="1"/>
  <c r="E117" i="9"/>
  <c r="E117" i="10"/>
  <c r="M26" i="10"/>
  <c r="M25" i="10" s="1"/>
  <c r="M27" i="10" s="1"/>
  <c r="D117" i="10"/>
  <c r="C119" i="10"/>
  <c r="L95" i="10"/>
  <c r="L92" i="10"/>
  <c r="L91" i="10"/>
  <c r="L90" i="10"/>
  <c r="L96" i="10"/>
  <c r="L93" i="10"/>
  <c r="L94" i="10"/>
  <c r="L89" i="10"/>
  <c r="M97" i="10"/>
  <c r="E119" i="9"/>
  <c r="D119" i="9"/>
  <c r="M18" i="9"/>
  <c r="L95" i="9"/>
  <c r="L92" i="9"/>
  <c r="L91" i="9"/>
  <c r="L90" i="9"/>
  <c r="L96" i="9"/>
  <c r="L93" i="9"/>
  <c r="L94" i="9"/>
  <c r="L89" i="9"/>
  <c r="L88" i="9"/>
  <c r="M97" i="9"/>
  <c r="M26" i="9"/>
  <c r="M25" i="9" s="1"/>
  <c r="M27" i="9" s="1"/>
  <c r="M63" i="9"/>
  <c r="L97" i="9" l="1"/>
  <c r="L97" i="10"/>
  <c r="E119" i="10"/>
  <c r="D119" i="10"/>
  <c r="M18" i="10"/>
  <c r="N63" i="9"/>
  <c r="N18" i="9"/>
  <c r="M19" i="9"/>
  <c r="N18" i="10" l="1"/>
  <c r="M19" i="10"/>
  <c r="N19" i="9"/>
  <c r="M30" i="9"/>
  <c r="W29" i="9"/>
  <c r="N19" i="10" l="1"/>
  <c r="M30" i="10"/>
  <c r="W29" i="10"/>
  <c r="W32" i="9"/>
  <c r="W31" i="9"/>
  <c r="M33" i="9"/>
  <c r="M32" i="9"/>
  <c r="M34" i="9" l="1"/>
  <c r="M36" i="9" s="1"/>
  <c r="M64" i="9" s="1"/>
  <c r="W33" i="9"/>
  <c r="W32" i="10"/>
  <c r="W31" i="10"/>
  <c r="M33" i="10"/>
  <c r="M32" i="10"/>
  <c r="C17" i="1"/>
  <c r="M40" i="9" l="1"/>
  <c r="M38" i="9"/>
  <c r="W33" i="10"/>
  <c r="M34" i="10"/>
  <c r="M36" i="10" s="1"/>
  <c r="M40" i="10" s="1"/>
  <c r="N64" i="9"/>
  <c r="T64" i="9"/>
  <c r="Q64" i="9"/>
  <c r="M65" i="9"/>
  <c r="I87" i="1"/>
  <c r="I89" i="1" s="1"/>
  <c r="F87" i="1"/>
  <c r="F89" i="1" s="1"/>
  <c r="C87" i="1"/>
  <c r="C89" i="1" s="1"/>
  <c r="H37" i="1"/>
  <c r="O38" i="9" l="1"/>
  <c r="O37" i="9"/>
  <c r="M64" i="10"/>
  <c r="T64" i="10" s="1"/>
  <c r="M38" i="10"/>
  <c r="O38" i="10" s="1"/>
  <c r="N72" i="9"/>
  <c r="N73" i="9" s="1"/>
  <c r="O65" i="9"/>
  <c r="N65" i="9"/>
  <c r="U64" i="9"/>
  <c r="T65" i="9"/>
  <c r="R64" i="9"/>
  <c r="Q65" i="9"/>
  <c r="Q64" i="10" l="1"/>
  <c r="R64" i="10" s="1"/>
  <c r="O37" i="10"/>
  <c r="N64" i="10"/>
  <c r="M65" i="10"/>
  <c r="N72" i="10" s="1"/>
  <c r="N73" i="10" s="1"/>
  <c r="U64" i="10"/>
  <c r="T65" i="10"/>
  <c r="R65" i="9"/>
  <c r="S65" i="9"/>
  <c r="V65" i="9"/>
  <c r="U65" i="9"/>
  <c r="N77" i="9"/>
  <c r="N78" i="9" s="1"/>
  <c r="N84" i="9"/>
  <c r="Q65" i="10" l="1"/>
  <c r="S65" i="10" s="1"/>
  <c r="N65" i="10"/>
  <c r="O65" i="10"/>
  <c r="V65" i="10"/>
  <c r="U65" i="10"/>
  <c r="N77" i="10"/>
  <c r="N78" i="10" s="1"/>
  <c r="N84" i="10"/>
  <c r="N89" i="9"/>
  <c r="O89" i="9" s="1"/>
  <c r="N85" i="9"/>
  <c r="N79" i="9"/>
  <c r="N88" i="9"/>
  <c r="N90" i="9"/>
  <c r="O90" i="9" s="1"/>
  <c r="N91" i="9"/>
  <c r="O91" i="9" s="1"/>
  <c r="N93" i="9"/>
  <c r="O93" i="9" s="1"/>
  <c r="N96" i="9"/>
  <c r="O96" i="9" s="1"/>
  <c r="N92" i="9"/>
  <c r="O92" i="9" s="1"/>
  <c r="N95" i="9"/>
  <c r="O95" i="9" s="1"/>
  <c r="N94" i="9"/>
  <c r="O94" i="9" s="1"/>
  <c r="R65" i="10" l="1"/>
  <c r="N89" i="10"/>
  <c r="O89" i="10" s="1"/>
  <c r="N85" i="10"/>
  <c r="N79" i="10"/>
  <c r="N88" i="10"/>
  <c r="N94" i="10"/>
  <c r="O94" i="10" s="1"/>
  <c r="N96" i="10"/>
  <c r="O96" i="10" s="1"/>
  <c r="N91" i="10"/>
  <c r="O91" i="10" s="1"/>
  <c r="N95" i="10"/>
  <c r="O95" i="10" s="1"/>
  <c r="N93" i="10"/>
  <c r="O93" i="10" s="1"/>
  <c r="N90" i="10"/>
  <c r="O90" i="10" s="1"/>
  <c r="N92" i="10"/>
  <c r="O92" i="10" s="1"/>
  <c r="N97" i="9"/>
  <c r="O88" i="9"/>
  <c r="N97" i="10" l="1"/>
  <c r="O88" i="10"/>
  <c r="C3" i="1" l="1"/>
  <c r="J114" i="1"/>
  <c r="J113" i="1"/>
  <c r="J112" i="1"/>
  <c r="J102" i="1"/>
  <c r="C52" i="1"/>
  <c r="D16" i="1"/>
  <c r="J104" i="1"/>
  <c r="J106" i="1"/>
  <c r="J107" i="1"/>
  <c r="J103" i="1"/>
  <c r="D14" i="1"/>
  <c r="C6" i="1"/>
  <c r="F111" i="1" l="1"/>
  <c r="H51" i="1" l="1"/>
  <c r="H38" i="1" l="1"/>
  <c r="H43" i="1" s="1"/>
  <c r="I15" i="1" s="1"/>
  <c r="H44" i="1"/>
  <c r="E14" i="1" l="1"/>
  <c r="C43" i="1"/>
  <c r="E16" i="1"/>
  <c r="C100" i="3" l="1"/>
  <c r="C127" i="3" s="1"/>
  <c r="C128" i="3" l="1"/>
  <c r="I115" i="1" l="1"/>
  <c r="G115" i="1"/>
  <c r="I108" i="1"/>
  <c r="C117" i="1" s="1"/>
  <c r="G108" i="1"/>
  <c r="F117" i="1" l="1"/>
  <c r="C55" i="1" l="1"/>
  <c r="C54" i="1"/>
</calcChain>
</file>

<file path=xl/sharedStrings.xml><?xml version="1.0" encoding="utf-8"?>
<sst xmlns="http://schemas.openxmlformats.org/spreadsheetml/2006/main" count="861" uniqueCount="411">
  <si>
    <t>Address:</t>
  </si>
  <si>
    <t>Date:</t>
  </si>
  <si>
    <t>Loan Officer:</t>
  </si>
  <si>
    <t>LO:</t>
  </si>
  <si>
    <t>Loan Request</t>
  </si>
  <si>
    <t>Fund</t>
  </si>
  <si>
    <t>Loan Type</t>
  </si>
  <si>
    <t>Amount</t>
  </si>
  <si>
    <t>LTV</t>
  </si>
  <si>
    <t>Maturity</t>
  </si>
  <si>
    <t>Cash</t>
  </si>
  <si>
    <t>Loan Officer</t>
  </si>
  <si>
    <t>Brent</t>
  </si>
  <si>
    <t>Shannon</t>
  </si>
  <si>
    <t>Options</t>
  </si>
  <si>
    <t>Yes</t>
  </si>
  <si>
    <t>No</t>
  </si>
  <si>
    <t>Exception:</t>
  </si>
  <si>
    <t>Explain (If yes):</t>
  </si>
  <si>
    <t>Repayment Terms:</t>
  </si>
  <si>
    <t>Repayment Source:</t>
  </si>
  <si>
    <t>LTV:</t>
  </si>
  <si>
    <t>Appraisal:</t>
  </si>
  <si>
    <t>1st Lien:</t>
  </si>
  <si>
    <t>2nd Lien:</t>
  </si>
  <si>
    <t>Interest:</t>
  </si>
  <si>
    <t>Fees:</t>
  </si>
  <si>
    <t>Total:</t>
  </si>
  <si>
    <t>Alteration:</t>
  </si>
  <si>
    <t>Referral:</t>
  </si>
  <si>
    <t>Guarantor 1:</t>
  </si>
  <si>
    <t>Guarantor 2:</t>
  </si>
  <si>
    <t>Extension</t>
  </si>
  <si>
    <t>Select</t>
  </si>
  <si>
    <t>Barrower</t>
  </si>
  <si>
    <t>Documentation:</t>
  </si>
  <si>
    <t>PFS</t>
  </si>
  <si>
    <t>Bank STMTS</t>
  </si>
  <si>
    <t>Employment History:</t>
  </si>
  <si>
    <t>Credit:</t>
  </si>
  <si>
    <t>Total Assets</t>
  </si>
  <si>
    <t>Net Worth</t>
  </si>
  <si>
    <t>AGI</t>
  </si>
  <si>
    <t>Work In Progress (LGC)</t>
  </si>
  <si>
    <t>Date Funded</t>
  </si>
  <si>
    <t>Market Value</t>
  </si>
  <si>
    <t>Total WIP LGC:</t>
  </si>
  <si>
    <t>Total WIP:</t>
  </si>
  <si>
    <t>Conclusion</t>
  </si>
  <si>
    <t>Weaknesses:</t>
  </si>
  <si>
    <t>Recommendations:</t>
  </si>
  <si>
    <t>Explanation:</t>
  </si>
  <si>
    <t>Financial Analysis:</t>
  </si>
  <si>
    <t>Guarantor</t>
  </si>
  <si>
    <t>Total Labilities</t>
  </si>
  <si>
    <t>Project</t>
  </si>
  <si>
    <t>Strengths:</t>
  </si>
  <si>
    <t>MGMT Loan CMTE:</t>
  </si>
  <si>
    <t>Approved</t>
  </si>
  <si>
    <t>Suspended</t>
  </si>
  <si>
    <t>Declined</t>
  </si>
  <si>
    <t>Date</t>
  </si>
  <si>
    <t>Comments:</t>
  </si>
  <si>
    <t>2YR Taxes</t>
  </si>
  <si>
    <t>YTD P&amp;C / Balance</t>
  </si>
  <si>
    <t>Score:</t>
  </si>
  <si>
    <t>BK:</t>
  </si>
  <si>
    <t>Foreclosure:</t>
  </si>
  <si>
    <t>Short Sale:</t>
  </si>
  <si>
    <t>Work In Progress (Other)</t>
  </si>
  <si>
    <t>Sub Total:</t>
  </si>
  <si>
    <t xml:space="preserve">  </t>
  </si>
  <si>
    <t>Borrower</t>
  </si>
  <si>
    <t>Primary:</t>
  </si>
  <si>
    <t>Secondary:</t>
  </si>
  <si>
    <t>Borrower Name:</t>
  </si>
  <si>
    <t>LOF</t>
  </si>
  <si>
    <t>12 mo</t>
  </si>
  <si>
    <t xml:space="preserve">Sale of all collateral </t>
  </si>
  <si>
    <t xml:space="preserve">Interest only due monthly . Principle and interest due at maturity </t>
  </si>
  <si>
    <t xml:space="preserve">Liquidation of collateral </t>
  </si>
  <si>
    <t>3202 NW 70th St   Seattle, WA 98117</t>
  </si>
  <si>
    <t xml:space="preserve">Reynolds Kline </t>
  </si>
  <si>
    <t>NA</t>
  </si>
  <si>
    <t xml:space="preserve">Rate </t>
  </si>
  <si>
    <t>LTC</t>
  </si>
  <si>
    <t>Legacy Capital Loan Presentation</t>
  </si>
  <si>
    <t>LEGACY GROUP CAPITAL</t>
  </si>
  <si>
    <t>BORROWER:</t>
  </si>
  <si>
    <t>GROSS SF:</t>
  </si>
  <si>
    <t>BUILDER:</t>
  </si>
  <si>
    <t># OF UNITS:</t>
  </si>
  <si>
    <t>PROPERTY:</t>
  </si>
  <si>
    <t>BROKER:</t>
  </si>
  <si>
    <t>DESCRIPTION:</t>
  </si>
  <si>
    <t>CLOSING DATE:</t>
  </si>
  <si>
    <t>LINE ITEMS</t>
  </si>
  <si>
    <t>BUDGET</t>
  </si>
  <si>
    <t>COST/SF</t>
  </si>
  <si>
    <t>COST/UNIT</t>
  </si>
  <si>
    <t>ACTUAL</t>
  </si>
  <si>
    <t>DETAILS OF TRANSACTION (ESTIMATED)</t>
  </si>
  <si>
    <t>HARD COSTS</t>
  </si>
  <si>
    <t>DEV COST / UNIT</t>
  </si>
  <si>
    <t>COST / DOOR</t>
  </si>
  <si>
    <t>TOTAL ACQ</t>
  </si>
  <si>
    <t>PROJECT COSTS</t>
  </si>
  <si>
    <t>TOTAL</t>
  </si>
  <si>
    <t>PER UNIT</t>
  </si>
  <si>
    <t>LAND COST</t>
  </si>
  <si>
    <t>CLEANING - FINAL</t>
  </si>
  <si>
    <t>ASSIGNMENT FEE</t>
  </si>
  <si>
    <t>BROKER FEE</t>
  </si>
  <si>
    <t>CONSTRUCTION COSTS</t>
  </si>
  <si>
    <t>TOTAL COST &lt; FINANCE</t>
  </si>
  <si>
    <t>BRIDGE LOAN</t>
  </si>
  <si>
    <t>GUTTERS &amp; DOWNSPOUTS</t>
  </si>
  <si>
    <t>BASE LOAN</t>
  </si>
  <si>
    <t>LTPP</t>
  </si>
  <si>
    <t>EST CLOSING COST</t>
  </si>
  <si>
    <t>LOAN FEE</t>
  </si>
  <si>
    <t>MONTHS OF INTEREST</t>
  </si>
  <si>
    <t>COST OF BRIDGE</t>
  </si>
  <si>
    <t>CONSTRUCTION LOAN</t>
  </si>
  <si>
    <t>MONTHS OF FULL DRAW</t>
  </si>
  <si>
    <t>ELECTRIC - ROUGH</t>
  </si>
  <si>
    <t>PLUMBING - ROUGH</t>
  </si>
  <si>
    <t>CLTV</t>
  </si>
  <si>
    <t>PLEDGED COLLATERAL</t>
  </si>
  <si>
    <t>CLTC</t>
  </si>
  <si>
    <t>DEVELOPER EQUITY</t>
  </si>
  <si>
    <t>PROJECT PROFORMA</t>
  </si>
  <si>
    <t>GSF</t>
  </si>
  <si>
    <t>NSF</t>
  </si>
  <si>
    <t>PRICE</t>
  </si>
  <si>
    <t>PARKED</t>
  </si>
  <si>
    <t>PRICE/SF</t>
  </si>
  <si>
    <t>UNIT 1</t>
  </si>
  <si>
    <t>Y</t>
  </si>
  <si>
    <t>UNIT 2</t>
  </si>
  <si>
    <t>APPLIANCES</t>
  </si>
  <si>
    <t>UNIT 4</t>
  </si>
  <si>
    <t>UNIT 5</t>
  </si>
  <si>
    <t>UNIT 6</t>
  </si>
  <si>
    <t>UNIT 7</t>
  </si>
  <si>
    <t>UNIT 8</t>
  </si>
  <si>
    <t>UNIT 9</t>
  </si>
  <si>
    <t>MISC</t>
  </si>
  <si>
    <t>UNIT 10</t>
  </si>
  <si>
    <t>UNIT 11</t>
  </si>
  <si>
    <t>UNIT 12</t>
  </si>
  <si>
    <t>CONTINGENCY</t>
  </si>
  <si>
    <t xml:space="preserve">SALES TAX </t>
  </si>
  <si>
    <t>10.5%</t>
  </si>
  <si>
    <t>SUBTOTAL HARD COSTS</t>
  </si>
  <si>
    <t>TOTAL SALES PROCEEDS</t>
  </si>
  <si>
    <t>SOFT COSTS</t>
  </si>
  <si>
    <t>CLOSING COSTS</t>
  </si>
  <si>
    <t>NET SALE</t>
  </si>
  <si>
    <t>INSURANCE</t>
  </si>
  <si>
    <t>LESS TOTAL PROJECT COST</t>
  </si>
  <si>
    <t>B&amp;O</t>
  </si>
  <si>
    <t>0.686%</t>
  </si>
  <si>
    <t>NET PROJECT PROCEEDS</t>
  </si>
  <si>
    <t>SEATTLE CITY LIGHT FEES</t>
  </si>
  <si>
    <t>INVESTOR MODEL</t>
  </si>
  <si>
    <t>ARCHITECT</t>
  </si>
  <si>
    <t>MONTHS</t>
  </si>
  <si>
    <t>RATE</t>
  </si>
  <si>
    <t>STRUCTURAL ENGINEER</t>
  </si>
  <si>
    <t>MEZZ / COLLATERAL</t>
  </si>
  <si>
    <t>CIVIL ENGINEER</t>
  </si>
  <si>
    <t>NET PROCEEDS</t>
  </si>
  <si>
    <t>LANDSCAPE ARCHITECT</t>
  </si>
  <si>
    <t>NET OF MEZZANINE</t>
  </si>
  <si>
    <t xml:space="preserve">DESIGN </t>
  </si>
  <si>
    <t>INVESTOR:</t>
  </si>
  <si>
    <t>INVESTOR CAPITAL</t>
  </si>
  <si>
    <t>PROPERTY TAXES</t>
  </si>
  <si>
    <t>PROFITS INTEREST</t>
  </si>
  <si>
    <t>MARKETING/STAGING</t>
  </si>
  <si>
    <t>TOTAL RETURN</t>
  </si>
  <si>
    <t>ACCOUNTING</t>
  </si>
  <si>
    <t>ROE (RETURN ON EQUITY)</t>
  </si>
  <si>
    <t>LEGAL</t>
  </si>
  <si>
    <t>DEVELOPER:</t>
  </si>
  <si>
    <t>WARRANTY</t>
  </si>
  <si>
    <t>DEVELOPER CAPITAL</t>
  </si>
  <si>
    <t>GC FEE</t>
  </si>
  <si>
    <t>PERCENTAGE OF PROFITS</t>
  </si>
  <si>
    <t>SUBTOTAL SOFT COSTS</t>
  </si>
  <si>
    <t>TOTAL INVESTOR RETURN</t>
  </si>
  <si>
    <t>TOTAL CONSTRUCTION COSTS</t>
  </si>
  <si>
    <t>INVESTORS</t>
  </si>
  <si>
    <t>AMOUNT</t>
  </si>
  <si>
    <t>% OF EQUITY</t>
  </si>
  <si>
    <t>EST RETURN</t>
  </si>
  <si>
    <t>ROE</t>
  </si>
  <si>
    <t>Investor 1</t>
  </si>
  <si>
    <t>Investor 2</t>
  </si>
  <si>
    <t>REVIEWED AND APPROVED. TERMS SUBJECT TO CHANGE &amp; FINAL COSTS TO BE CONFIRMED BY GC</t>
  </si>
  <si>
    <t>Investor 3</t>
  </si>
  <si>
    <t>Investor 4</t>
  </si>
  <si>
    <t>Investor 5</t>
  </si>
  <si>
    <t xml:space="preserve">X </t>
  </si>
  <si>
    <t>Investor 6</t>
  </si>
  <si>
    <t>Investor 7</t>
  </si>
  <si>
    <t>Investor 8</t>
  </si>
  <si>
    <t>Print Name</t>
  </si>
  <si>
    <t>Title</t>
  </si>
  <si>
    <t>Value:</t>
  </si>
  <si>
    <t>Subject Property</t>
  </si>
  <si>
    <t>Allowable LTV:</t>
  </si>
  <si>
    <t>Available Collateral:</t>
  </si>
  <si>
    <t>Reynolds &amp; Kline</t>
  </si>
  <si>
    <t>Equity/Mezz</t>
  </si>
  <si>
    <t>Source of Equity:</t>
  </si>
  <si>
    <t>Borrower Portion:</t>
  </si>
  <si>
    <t>Investor Portion:</t>
  </si>
  <si>
    <t>3 mo</t>
  </si>
  <si>
    <t>Subordinated Seller Debt:</t>
  </si>
  <si>
    <t>Primary Collateral:</t>
  </si>
  <si>
    <t>Equity</t>
  </si>
  <si>
    <t>Pledged LOF Units</t>
  </si>
  <si>
    <t>Pledged Collateral</t>
  </si>
  <si>
    <t>Loan Purpose:</t>
  </si>
  <si>
    <t>OO Bridge</t>
  </si>
  <si>
    <t>OO Construction</t>
  </si>
  <si>
    <t>NOO Bridge</t>
  </si>
  <si>
    <t>NOO Construction</t>
  </si>
  <si>
    <t>FLIP</t>
  </si>
  <si>
    <t>NWF</t>
  </si>
  <si>
    <t>Mezzanine</t>
  </si>
  <si>
    <t>Project Cost</t>
  </si>
  <si>
    <t>Loan Fee</t>
  </si>
  <si>
    <t>Equity Required</t>
  </si>
  <si>
    <t>Contingency:</t>
  </si>
  <si>
    <t>&amp; Investor (if any):</t>
  </si>
  <si>
    <t>Narrative on Equity/Mezz</t>
  </si>
  <si>
    <t>Min Equity Requirement</t>
  </si>
  <si>
    <t>% Complete</t>
  </si>
  <si>
    <t>Gurdjian</t>
  </si>
  <si>
    <t>5 Unit</t>
  </si>
  <si>
    <t>SFR</t>
  </si>
  <si>
    <t>GUARANTOR:</t>
  </si>
  <si>
    <t>None</t>
  </si>
  <si>
    <t>1st DOT</t>
  </si>
  <si>
    <t>Mezz</t>
  </si>
  <si>
    <t>Property (Additional Collateral)</t>
  </si>
  <si>
    <t>Property Type:</t>
  </si>
  <si>
    <t>If Mezz:</t>
  </si>
  <si>
    <t>If Mezz</t>
  </si>
  <si>
    <t>Private</t>
  </si>
  <si>
    <t>LOF &amp; Private</t>
  </si>
  <si>
    <t>N/A</t>
  </si>
  <si>
    <t>Estimated  LOF Profits:</t>
  </si>
  <si>
    <t>Mezz Interest Rate:</t>
  </si>
  <si>
    <t>Estimated ROE:</t>
  </si>
  <si>
    <t>SUBMISSION SHEET</t>
  </si>
  <si>
    <t>Assignment Fees Paid</t>
  </si>
  <si>
    <t>Paid</t>
  </si>
  <si>
    <t>Due</t>
  </si>
  <si>
    <t>Seller Paid @ Close</t>
  </si>
  <si>
    <t>Buyer Paid @ Close</t>
  </si>
  <si>
    <t>Paid @ Close</t>
  </si>
  <si>
    <t>Scott</t>
  </si>
  <si>
    <t>VARIABLE INTEREST</t>
  </si>
  <si>
    <t>COST OF CONSTRUCTION</t>
  </si>
  <si>
    <t>EARNEST MONEY:</t>
  </si>
  <si>
    <t>EM NOTES:</t>
  </si>
  <si>
    <t>FEE NOTES:</t>
  </si>
  <si>
    <t xml:space="preserve">Project Collateral / </t>
  </si>
  <si>
    <t>Acquisition:</t>
  </si>
  <si>
    <t>As-Is Value:</t>
  </si>
  <si>
    <t>As Complete Value:</t>
  </si>
  <si>
    <t>Appraiser:</t>
  </si>
  <si>
    <t>Assignment Fee:</t>
  </si>
  <si>
    <t>Broker Fee:</t>
  </si>
  <si>
    <t>PSF:</t>
  </si>
  <si>
    <t>Client Since:</t>
  </si>
  <si>
    <t># of Deals:</t>
  </si>
  <si>
    <t>LOF Mezzanine</t>
  </si>
  <si>
    <t>Private Mezz</t>
  </si>
  <si>
    <t>History:</t>
  </si>
  <si>
    <t>Nature of Biz:</t>
  </si>
  <si>
    <t>Assets</t>
  </si>
  <si>
    <t xml:space="preserve">Loan to cost exception at 83%. The LTV as complete will be 63% </t>
  </si>
  <si>
    <t>Loan Conditions:</t>
  </si>
  <si>
    <t>BUILT GREEN</t>
  </si>
  <si>
    <t>MHA FEE</t>
  </si>
  <si>
    <t>DEV FEE</t>
  </si>
  <si>
    <t>PRICE /SF</t>
  </si>
  <si>
    <t xml:space="preserve">BUILDER BUDGET </t>
  </si>
  <si>
    <t xml:space="preserve">GENERAL CONDITIONS </t>
  </si>
  <si>
    <t>SUPERVISION</t>
  </si>
  <si>
    <t xml:space="preserve">TEMP LABOR </t>
  </si>
  <si>
    <t xml:space="preserve">SUPPLIES &amp; SMALL TOOLS </t>
  </si>
  <si>
    <t xml:space="preserve">TRAFFIC CONTROL </t>
  </si>
  <si>
    <t xml:space="preserve">TEMP UTILITIES </t>
  </si>
  <si>
    <t xml:space="preserve">TEMP HEAT </t>
  </si>
  <si>
    <t xml:space="preserve">TEMP TOILETS </t>
  </si>
  <si>
    <t xml:space="preserve">TEMP FENCING </t>
  </si>
  <si>
    <t xml:space="preserve">DEMOLITION </t>
  </si>
  <si>
    <t xml:space="preserve">DUMPSTER / GARBAGE </t>
  </si>
  <si>
    <t xml:space="preserve">RAT ABATEMENT </t>
  </si>
  <si>
    <t xml:space="preserve">ASBESTOS REMOVAL </t>
  </si>
  <si>
    <t>TENANT RELOCATION</t>
  </si>
  <si>
    <t xml:space="preserve">SITE WORK </t>
  </si>
  <si>
    <t xml:space="preserve">EARTHWORK / EXCAVATION </t>
  </si>
  <si>
    <t xml:space="preserve">CURB / GUTTER / SIDEWALK </t>
  </si>
  <si>
    <t xml:space="preserve">DRIVEWAY / WALKWAY PAVING </t>
  </si>
  <si>
    <t xml:space="preserve">WATER METERS </t>
  </si>
  <si>
    <t xml:space="preserve">IMPORT / EXPORT </t>
  </si>
  <si>
    <t xml:space="preserve">VERTICAL CONSTRUCTION </t>
  </si>
  <si>
    <t xml:space="preserve">FRAMING MATERIAL / LUMBER </t>
  </si>
  <si>
    <t xml:space="preserve">FRAMING LABOR </t>
  </si>
  <si>
    <t xml:space="preserve">HVAC - ROUGH </t>
  </si>
  <si>
    <t>ONSITE UNDERGROUND UTILITIES (POWER, SEWER, GAS, ELECTRIC)</t>
  </si>
  <si>
    <t>LOW VOLT (DATA CABLING, CABLE / INTERNET, DETECTION &amp; ALARM)</t>
  </si>
  <si>
    <t xml:space="preserve">INSULATION </t>
  </si>
  <si>
    <t xml:space="preserve">EXTERIOR MASONRY </t>
  </si>
  <si>
    <t xml:space="preserve">ROOFING </t>
  </si>
  <si>
    <t xml:space="preserve">EXTERIOR DOORS </t>
  </si>
  <si>
    <t xml:space="preserve">GARAGE DOORS </t>
  </si>
  <si>
    <t xml:space="preserve">WINDOWS / SKYLIGHTS / SLIDING DOORS </t>
  </si>
  <si>
    <t xml:space="preserve">BELOW GRADE WATERPROOFING </t>
  </si>
  <si>
    <t xml:space="preserve">SIDING LABOR &amp; MATERIALS </t>
  </si>
  <si>
    <t xml:space="preserve">FIREPLACES </t>
  </si>
  <si>
    <t xml:space="preserve">STRUCTURAL STEEL </t>
  </si>
  <si>
    <t>WATERPROOF EXTERIOR DECKS</t>
  </si>
  <si>
    <t xml:space="preserve">FINISHES </t>
  </si>
  <si>
    <t xml:space="preserve">TRADE DAMAGE </t>
  </si>
  <si>
    <t xml:space="preserve">CARPET </t>
  </si>
  <si>
    <t xml:space="preserve">TILE / VINYL / PLAM </t>
  </si>
  <si>
    <t xml:space="preserve">HARDWOOD FLOORING &amp; STAIRS </t>
  </si>
  <si>
    <t xml:space="preserve">INTERIOR PAINT  / STAIN </t>
  </si>
  <si>
    <t>EXTERIOR PAINT / STAIN</t>
  </si>
  <si>
    <t xml:space="preserve">CABINETS </t>
  </si>
  <si>
    <t xml:space="preserve">COUNTERTOPS </t>
  </si>
  <si>
    <t>INTERIOR MASONRY</t>
  </si>
  <si>
    <t xml:space="preserve">INTERIOR DOORS / TRIM / FINISH HARDWARE </t>
  </si>
  <si>
    <t xml:space="preserve">FINISH CARPENTRY LABOR </t>
  </si>
  <si>
    <t xml:space="preserve">CLOSETS &amp; SHELVING </t>
  </si>
  <si>
    <t xml:space="preserve">WINDOW TREATMENTS </t>
  </si>
  <si>
    <t xml:space="preserve">LIGHTWEIGHT CONCRETE / INTERIOR FLATWORK </t>
  </si>
  <si>
    <t xml:space="preserve">INTERIOR GLAZING - MIRRORS / SHOWER DOORS </t>
  </si>
  <si>
    <t xml:space="preserve">GAS &amp; POWER METERS &amp; UNIT SUBMETERS </t>
  </si>
  <si>
    <t xml:space="preserve">ACOUSTICAL TREATMENT </t>
  </si>
  <si>
    <t xml:space="preserve">LANDSCAPING AND FINISH SITEWORK </t>
  </si>
  <si>
    <t xml:space="preserve">FOUNDATION / BIOPLANTERS </t>
  </si>
  <si>
    <t xml:space="preserve">POSTAL SPECIALTIES </t>
  </si>
  <si>
    <t xml:space="preserve">EXTERIOR SITE HANDRAILS </t>
  </si>
  <si>
    <t xml:space="preserve">ORNAMENTAL METAL RAILINGS - INTERIOR AND EXTERIOR DECKING </t>
  </si>
  <si>
    <t xml:space="preserve">GEOTECH </t>
  </si>
  <si>
    <t>INFILTRATION</t>
  </si>
  <si>
    <t>ULS &amp; SURVEY (THROUGH CONSTRUCTION PERMITS)</t>
  </si>
  <si>
    <t xml:space="preserve">STREET USE FEES </t>
  </si>
  <si>
    <t>CONSTRCUTION STAKING  / SURVEY</t>
  </si>
  <si>
    <t>PANEL RESTORATION</t>
  </si>
  <si>
    <t>OFF SITE UTILTY CONNECTIONS</t>
  </si>
  <si>
    <t xml:space="preserve">EXISTING STRUCTURE DEMO / CLEARNING AND GRUBBING </t>
  </si>
  <si>
    <t xml:space="preserve">DRYWALL </t>
  </si>
  <si>
    <t xml:space="preserve">BIKE STORAGE / RACKS </t>
  </si>
  <si>
    <t xml:space="preserve">FENCING / TRASH ENCLOSURES </t>
  </si>
  <si>
    <t>BUILDING PERMITS</t>
  </si>
  <si>
    <t>PLUMBING FIXTURES / TRIM</t>
  </si>
  <si>
    <t xml:space="preserve">ELECTRICAL FIXTURES / TRIM / LIGHTING </t>
  </si>
  <si>
    <t xml:space="preserve">FIRE SPRINKLERS / FIRE AND SMOKE PROTECTION </t>
  </si>
  <si>
    <t xml:space="preserve">LANDSCAPING MATERIAL &amp; INSTALL  </t>
  </si>
  <si>
    <t xml:space="preserve">VARIANCE         </t>
  </si>
  <si>
    <t xml:space="preserve">BROKER SALES PRICE </t>
  </si>
  <si>
    <t>ACTUAL SALES PRICE</t>
  </si>
  <si>
    <t xml:space="preserve">TREE REMOVAL </t>
  </si>
  <si>
    <t xml:space="preserve">TEMP FENCING, HEAT, TOILETS, UTILITIES </t>
  </si>
  <si>
    <t>EQUIPMENT RENTAL / CONSTRUCTION STAGING &amp; STORAGE (HOISTS / FORKLIFTS / CRANES)</t>
  </si>
  <si>
    <t>OIL TANK REMOVAL (NON PLIA COVERED PROPERTY)</t>
  </si>
  <si>
    <t xml:space="preserve">SHORING / PILES / RETAINING WALLS </t>
  </si>
  <si>
    <t xml:space="preserve">ROADWAY PAVING / PANEL RESTORATION </t>
  </si>
  <si>
    <t xml:space="preserve">LINE VALVE </t>
  </si>
  <si>
    <t xml:space="preserve">ACTUAL LOAN DOLLARS </t>
  </si>
  <si>
    <t xml:space="preserve">DATE: </t>
  </si>
  <si>
    <t xml:space="preserve">MIS SUPPLIES &amp; SMALL TOOLS </t>
  </si>
  <si>
    <t>LGC ESTIMATE</t>
  </si>
  <si>
    <t>COST ESTIMATE, DETAILS OF TRANSACTION AND PROFORMA</t>
  </si>
  <si>
    <t>ESTIMATED BRIDGE LOAN CARRY</t>
  </si>
  <si>
    <t>ESTIMATED CONSTRUCTION LOAN CARRY</t>
  </si>
  <si>
    <t>EST LOAN FEE</t>
  </si>
  <si>
    <t>EST RATE AND MO FULL DRAW</t>
  </si>
  <si>
    <t>EST COST OF CONSTRUCTION</t>
  </si>
  <si>
    <t>EST COST OF BRIDGE</t>
  </si>
  <si>
    <t>EST EQUITY REQUIRED</t>
  </si>
  <si>
    <t>EST GROSS LOAN REQUEST</t>
  </si>
  <si>
    <t>EST TOTAL PROJECT COST</t>
  </si>
  <si>
    <t>PROJECTED SALES</t>
  </si>
  <si>
    <t xml:space="preserve">EST SOFT COSTS </t>
  </si>
  <si>
    <t>Existing</t>
  </si>
  <si>
    <t>CONSTRUCTION STAKING  / SURVEY</t>
  </si>
  <si>
    <t>BUILDING PERMITS (CONSTRUCTION AND LAND USE)</t>
  </si>
  <si>
    <t>HARD COST CONTINGENCY</t>
  </si>
  <si>
    <t>CONSTRUCTION CLEANUP</t>
  </si>
  <si>
    <t>STREET USE FEES</t>
  </si>
  <si>
    <t>TRADE DAMAGE</t>
  </si>
  <si>
    <t>FUEL</t>
  </si>
  <si>
    <t>SC-MISC-1</t>
  </si>
  <si>
    <t>CONSTRUCTION STAGING AND STORAGE</t>
  </si>
  <si>
    <t>LANDSCAPING MISC.</t>
  </si>
  <si>
    <t xml:space="preserve">TILE / VINYL / PALM </t>
  </si>
  <si>
    <t xml:space="preserve">REVIEWED AND APPROVED. </t>
  </si>
  <si>
    <t>Builder</t>
  </si>
  <si>
    <t>X</t>
  </si>
  <si>
    <t>LOAN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</si>
</sst>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yy;@"/>
    <numFmt numFmtId="165" formatCode="&quot;$&quot;#,##0.00"/>
    <numFmt numFmtId="166" formatCode="0.0%"/>
    <numFmt numFmtId="167" formatCode="&quot;$&quot;#,##0"/>
    <numFmt numFmtId="168" formatCode="General_)"/>
    <numFmt numFmtId="169" formatCode="_(* #,##0_);_(* \(#,##0\);_(* &quot;-&quot;??_);_(@_)"/>
    <numFmt numFmtId="170" formatCode="[$-409]mmmm\ d\,\ yyyy;@"/>
    <numFmt numFmtId="171" formatCode="_(&quot;$&quot;* #,##0_);_(&quot;$&quot;* \(#,##0\);_(&quot;$&quot;* &quot;-&quot;??_);_(@_)"/>
    <numFmt numFmtId="172" formatCode="0.0"/>
    <numFmt numFmtId="173" formatCode="[$-409]d\-mmm\-yy;@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D9D9D9"/>
      </bottom>
      <diagonal/>
    </border>
    <border>
      <left/>
      <right/>
      <top style="thin">
        <color theme="0" tint="-0.24994659260841701"/>
      </top>
      <bottom style="thin">
        <color rgb="FFD9D9D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7">
    <xf numFmtId="0" fontId="0" fillId="0" borderId="0" xfId="0"/>
    <xf numFmtId="0" fontId="1" fillId="3" borderId="8" xfId="0" applyFont="1" applyFill="1" applyBorder="1" applyAlignment="1">
      <alignment horizontal="centerContinuous" vertical="center"/>
    </xf>
    <xf numFmtId="0" fontId="0" fillId="3" borderId="9" xfId="0" applyFill="1" applyBorder="1" applyAlignment="1">
      <alignment horizontal="centerContinuous" vertical="center"/>
    </xf>
    <xf numFmtId="0" fontId="0" fillId="3" borderId="10" xfId="0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4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0" borderId="4" xfId="1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44" fontId="4" fillId="2" borderId="0" xfId="0" applyNumberFormat="1" applyFont="1" applyFill="1" applyBorder="1" applyAlignment="1">
      <alignment vertical="center"/>
    </xf>
    <xf numFmtId="44" fontId="4" fillId="2" borderId="0" xfId="0" applyNumberFormat="1" applyFont="1" applyFill="1" applyBorder="1" applyAlignment="1">
      <alignment horizontal="center" vertical="center"/>
    </xf>
    <xf numFmtId="0" fontId="8" fillId="0" borderId="15" xfId="0" applyFont="1" applyBorder="1"/>
    <xf numFmtId="168" fontId="12" fillId="0" borderId="15" xfId="0" applyNumberFormat="1" applyFont="1" applyBorder="1" applyAlignment="1">
      <alignment horizontal="left"/>
    </xf>
    <xf numFmtId="165" fontId="8" fillId="0" borderId="15" xfId="0" applyNumberFormat="1" applyFont="1" applyBorder="1"/>
    <xf numFmtId="44" fontId="8" fillId="0" borderId="15" xfId="1" applyFont="1" applyBorder="1"/>
    <xf numFmtId="167" fontId="8" fillId="0" borderId="15" xfId="0" applyNumberFormat="1" applyFont="1" applyBorder="1"/>
    <xf numFmtId="0" fontId="8" fillId="0" borderId="15" xfId="0" applyFont="1" applyBorder="1" applyAlignment="1">
      <alignment horizontal="center"/>
    </xf>
    <xf numFmtId="0" fontId="8" fillId="0" borderId="0" xfId="0" applyFont="1"/>
    <xf numFmtId="168" fontId="13" fillId="0" borderId="0" xfId="0" applyNumberFormat="1" applyFont="1" applyAlignment="1">
      <alignment horizontal="left"/>
    </xf>
    <xf numFmtId="167" fontId="8" fillId="0" borderId="0" xfId="0" applyNumberFormat="1" applyFont="1"/>
    <xf numFmtId="168" fontId="14" fillId="0" borderId="0" xfId="0" applyNumberFormat="1" applyFont="1" applyAlignment="1">
      <alignment horizontal="left"/>
    </xf>
    <xf numFmtId="44" fontId="8" fillId="0" borderId="0" xfId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left"/>
    </xf>
    <xf numFmtId="169" fontId="8" fillId="0" borderId="0" xfId="3" applyNumberFormat="1" applyFont="1" applyFill="1" applyBorder="1" applyProtection="1"/>
    <xf numFmtId="169" fontId="8" fillId="6" borderId="0" xfId="3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>
      <alignment horizontal="right"/>
    </xf>
    <xf numFmtId="167" fontId="8" fillId="0" borderId="0" xfId="0" applyNumberFormat="1" applyFont="1" applyAlignment="1" applyProtection="1">
      <alignment horizontal="left"/>
      <protection locked="0"/>
    </xf>
    <xf numFmtId="44" fontId="8" fillId="0" borderId="0" xfId="1" applyFont="1" applyBorder="1" applyAlignment="1">
      <alignment horizontal="left"/>
    </xf>
    <xf numFmtId="0" fontId="16" fillId="0" borderId="0" xfId="0" applyFont="1"/>
    <xf numFmtId="0" fontId="17" fillId="7" borderId="19" xfId="0" applyFont="1" applyFill="1" applyBorder="1"/>
    <xf numFmtId="44" fontId="17" fillId="7" borderId="0" xfId="1" applyFont="1" applyFill="1" applyBorder="1" applyAlignment="1"/>
    <xf numFmtId="171" fontId="8" fillId="9" borderId="21" xfId="1" applyNumberFormat="1" applyFont="1" applyFill="1" applyBorder="1" applyProtection="1">
      <protection locked="0"/>
    </xf>
    <xf numFmtId="44" fontId="8" fillId="0" borderId="21" xfId="1" applyFont="1" applyBorder="1" applyProtection="1"/>
    <xf numFmtId="171" fontId="8" fillId="0" borderId="21" xfId="1" applyNumberFormat="1" applyFont="1" applyBorder="1" applyProtection="1"/>
    <xf numFmtId="44" fontId="8" fillId="0" borderId="20" xfId="1" applyFont="1" applyBorder="1" applyProtection="1"/>
    <xf numFmtId="0" fontId="15" fillId="10" borderId="8" xfId="0" applyFont="1" applyFill="1" applyBorder="1"/>
    <xf numFmtId="171" fontId="15" fillId="10" borderId="10" xfId="1" applyNumberFormat="1" applyFont="1" applyFill="1" applyBorder="1"/>
    <xf numFmtId="0" fontId="15" fillId="0" borderId="8" xfId="0" applyFont="1" applyBorder="1" applyAlignment="1">
      <alignment horizontal="center"/>
    </xf>
    <xf numFmtId="171" fontId="15" fillId="0" borderId="10" xfId="1" applyNumberFormat="1" applyFont="1" applyBorder="1"/>
    <xf numFmtId="0" fontId="15" fillId="10" borderId="8" xfId="0" applyFont="1" applyFill="1" applyBorder="1" applyAlignment="1">
      <alignment horizontal="center"/>
    </xf>
    <xf numFmtId="0" fontId="15" fillId="0" borderId="16" xfId="0" applyFont="1" applyBorder="1"/>
    <xf numFmtId="0" fontId="15" fillId="0" borderId="1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171" fontId="8" fillId="9" borderId="0" xfId="3" applyNumberFormat="1" applyFont="1" applyFill="1" applyBorder="1" applyAlignment="1" applyProtection="1">
      <alignment vertical="center"/>
      <protection locked="0"/>
    </xf>
    <xf numFmtId="171" fontId="8" fillId="0" borderId="0" xfId="1" applyNumberFormat="1" applyFont="1"/>
    <xf numFmtId="0" fontId="8" fillId="0" borderId="0" xfId="0" applyFont="1" applyAlignment="1">
      <alignment horizontal="left" vertical="center"/>
    </xf>
    <xf numFmtId="166" fontId="8" fillId="9" borderId="0" xfId="0" applyNumberFormat="1" applyFont="1" applyFill="1" applyAlignment="1" applyProtection="1">
      <alignment horizontal="center"/>
      <protection locked="0"/>
    </xf>
    <xf numFmtId="171" fontId="18" fillId="0" borderId="0" xfId="0" applyNumberFormat="1" applyFont="1" applyAlignment="1">
      <alignment horizontal="center"/>
    </xf>
    <xf numFmtId="0" fontId="8" fillId="0" borderId="23" xfId="0" applyFont="1" applyBorder="1"/>
    <xf numFmtId="171" fontId="8" fillId="0" borderId="23" xfId="0" applyNumberFormat="1" applyFont="1" applyBorder="1"/>
    <xf numFmtId="171" fontId="8" fillId="0" borderId="23" xfId="1" applyNumberFormat="1" applyFont="1" applyBorder="1"/>
    <xf numFmtId="0" fontId="8" fillId="0" borderId="23" xfId="0" applyFont="1" applyBorder="1" applyAlignment="1">
      <alignment horizontal="center"/>
    </xf>
    <xf numFmtId="171" fontId="15" fillId="0" borderId="0" xfId="0" applyNumberFormat="1" applyFont="1"/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171" fontId="8" fillId="0" borderId="0" xfId="0" applyNumberFormat="1" applyFont="1"/>
    <xf numFmtId="0" fontId="19" fillId="0" borderId="0" xfId="0" applyFont="1" applyAlignment="1">
      <alignment horizontal="center"/>
    </xf>
    <xf numFmtId="166" fontId="19" fillId="0" borderId="0" xfId="2" applyNumberFormat="1" applyFont="1" applyAlignment="1">
      <alignment horizontal="center"/>
    </xf>
    <xf numFmtId="171" fontId="8" fillId="9" borderId="0" xfId="1" applyNumberFormat="1" applyFont="1" applyFill="1" applyProtection="1">
      <protection locked="0"/>
    </xf>
    <xf numFmtId="172" fontId="8" fillId="9" borderId="23" xfId="0" applyNumberFormat="1" applyFont="1" applyFill="1" applyBorder="1" applyAlignment="1" applyProtection="1">
      <alignment horizontal="center"/>
      <protection locked="0"/>
    </xf>
    <xf numFmtId="166" fontId="8" fillId="9" borderId="23" xfId="0" applyNumberFormat="1" applyFont="1" applyFill="1" applyBorder="1" applyAlignment="1" applyProtection="1">
      <alignment horizontal="center"/>
      <protection locked="0"/>
    </xf>
    <xf numFmtId="172" fontId="8" fillId="0" borderId="0" xfId="0" applyNumberFormat="1" applyFont="1"/>
    <xf numFmtId="172" fontId="8" fillId="0" borderId="16" xfId="0" applyNumberFormat="1" applyFont="1" applyBorder="1"/>
    <xf numFmtId="0" fontId="8" fillId="0" borderId="22" xfId="0" applyFont="1" applyBorder="1"/>
    <xf numFmtId="171" fontId="8" fillId="0" borderId="22" xfId="0" applyNumberFormat="1" applyFont="1" applyBorder="1"/>
    <xf numFmtId="0" fontId="8" fillId="0" borderId="22" xfId="0" applyFont="1" applyBorder="1" applyAlignment="1">
      <alignment horizontal="center"/>
    </xf>
    <xf numFmtId="0" fontId="15" fillId="0" borderId="0" xfId="0" applyFont="1"/>
    <xf numFmtId="171" fontId="15" fillId="9" borderId="0" xfId="0" applyNumberFormat="1" applyFont="1" applyFill="1" applyProtection="1">
      <protection locked="0"/>
    </xf>
    <xf numFmtId="166" fontId="19" fillId="0" borderId="0" xfId="2" applyNumberFormat="1" applyFont="1" applyBorder="1" applyAlignment="1">
      <alignment horizontal="center"/>
    </xf>
    <xf numFmtId="9" fontId="8" fillId="9" borderId="0" xfId="0" applyNumberFormat="1" applyFont="1" applyFill="1" applyAlignment="1" applyProtection="1">
      <alignment horizontal="center"/>
      <protection locked="0"/>
    </xf>
    <xf numFmtId="171" fontId="8" fillId="11" borderId="0" xfId="1" applyNumberFormat="1" applyFont="1" applyFill="1" applyBorder="1" applyProtection="1">
      <protection locked="0"/>
    </xf>
    <xf numFmtId="0" fontId="8" fillId="0" borderId="24" xfId="0" applyFont="1" applyBorder="1"/>
    <xf numFmtId="171" fontId="8" fillId="0" borderId="24" xfId="0" applyNumberFormat="1" applyFont="1" applyBorder="1"/>
    <xf numFmtId="169" fontId="8" fillId="9" borderId="0" xfId="3" applyNumberFormat="1" applyFont="1" applyFill="1" applyProtection="1">
      <protection locked="0"/>
    </xf>
    <xf numFmtId="0" fontId="8" fillId="9" borderId="22" xfId="0" applyFont="1" applyFill="1" applyBorder="1" applyAlignment="1" applyProtection="1">
      <alignment horizontal="center"/>
      <protection locked="0"/>
    </xf>
    <xf numFmtId="0" fontId="8" fillId="9" borderId="0" xfId="0" applyFont="1" applyFill="1" applyAlignment="1" applyProtection="1">
      <alignment horizontal="center"/>
      <protection locked="0"/>
    </xf>
    <xf numFmtId="171" fontId="8" fillId="9" borderId="20" xfId="1" applyNumberFormat="1" applyFont="1" applyFill="1" applyBorder="1" applyProtection="1">
      <protection locked="0"/>
    </xf>
    <xf numFmtId="169" fontId="8" fillId="9" borderId="23" xfId="3" applyNumberFormat="1" applyFont="1" applyFill="1" applyBorder="1" applyProtection="1">
      <protection locked="0"/>
    </xf>
    <xf numFmtId="171" fontId="8" fillId="9" borderId="23" xfId="1" applyNumberFormat="1" applyFont="1" applyFill="1" applyBorder="1" applyProtection="1">
      <protection locked="0"/>
    </xf>
    <xf numFmtId="0" fontId="8" fillId="9" borderId="23" xfId="0" applyFont="1" applyFill="1" applyBorder="1" applyAlignment="1" applyProtection="1">
      <alignment horizontal="center"/>
      <protection locked="0"/>
    </xf>
    <xf numFmtId="169" fontId="8" fillId="0" borderId="0" xfId="3" applyNumberFormat="1" applyFont="1"/>
    <xf numFmtId="49" fontId="8" fillId="9" borderId="20" xfId="0" applyNumberFormat="1" applyFont="1" applyFill="1" applyBorder="1" applyProtection="1">
      <protection locked="0"/>
    </xf>
    <xf numFmtId="49" fontId="8" fillId="0" borderId="25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center"/>
    </xf>
    <xf numFmtId="171" fontId="8" fillId="0" borderId="20" xfId="1" applyNumberFormat="1" applyFont="1" applyBorder="1"/>
    <xf numFmtId="44" fontId="8" fillId="0" borderId="21" xfId="1" applyFont="1" applyBorder="1"/>
    <xf numFmtId="171" fontId="8" fillId="0" borderId="21" xfId="1" applyNumberFormat="1" applyFont="1" applyBorder="1"/>
    <xf numFmtId="0" fontId="15" fillId="0" borderId="0" xfId="0" applyFont="1" applyAlignment="1">
      <alignment horizontal="center"/>
    </xf>
    <xf numFmtId="171" fontId="15" fillId="0" borderId="21" xfId="1" applyNumberFormat="1" applyFont="1" applyFill="1" applyBorder="1"/>
    <xf numFmtId="44" fontId="15" fillId="0" borderId="21" xfId="1" applyFont="1" applyFill="1" applyBorder="1" applyProtection="1"/>
    <xf numFmtId="171" fontId="15" fillId="0" borderId="21" xfId="1" applyNumberFormat="1" applyFont="1" applyFill="1" applyBorder="1" applyProtection="1"/>
    <xf numFmtId="2" fontId="8" fillId="0" borderId="22" xfId="0" applyNumberFormat="1" applyFont="1" applyBorder="1" applyAlignment="1">
      <alignment vertical="center"/>
    </xf>
    <xf numFmtId="171" fontId="8" fillId="0" borderId="22" xfId="3" applyNumberFormat="1" applyFont="1" applyFill="1" applyBorder="1" applyAlignment="1" applyProtection="1">
      <alignment vertical="center"/>
      <protection locked="0"/>
    </xf>
    <xf numFmtId="171" fontId="8" fillId="0" borderId="22" xfId="1" applyNumberFormat="1" applyFont="1" applyBorder="1"/>
    <xf numFmtId="49" fontId="17" fillId="7" borderId="28" xfId="0" applyNumberFormat="1" applyFont="1" applyFill="1" applyBorder="1"/>
    <xf numFmtId="49" fontId="17" fillId="7" borderId="0" xfId="0" applyNumberFormat="1" applyFont="1" applyFill="1"/>
    <xf numFmtId="171" fontId="17" fillId="12" borderId="0" xfId="1" applyNumberFormat="1" applyFont="1" applyFill="1" applyBorder="1" applyAlignment="1"/>
    <xf numFmtId="44" fontId="17" fillId="12" borderId="0" xfId="1" applyFont="1" applyFill="1" applyBorder="1" applyAlignment="1"/>
    <xf numFmtId="2" fontId="8" fillId="0" borderId="0" xfId="0" applyNumberFormat="1" applyFont="1" applyAlignment="1">
      <alignment vertical="center"/>
    </xf>
    <xf numFmtId="171" fontId="8" fillId="0" borderId="0" xfId="3" applyNumberFormat="1" applyFont="1" applyFill="1" applyBorder="1" applyAlignment="1">
      <alignment vertical="center"/>
    </xf>
    <xf numFmtId="171" fontId="8" fillId="0" borderId="0" xfId="1" applyNumberFormat="1" applyFont="1" applyBorder="1"/>
    <xf numFmtId="49" fontId="8" fillId="8" borderId="20" xfId="0" applyNumberFormat="1" applyFont="1" applyFill="1" applyBorder="1"/>
    <xf numFmtId="44" fontId="8" fillId="9" borderId="20" xfId="1" applyFont="1" applyFill="1" applyBorder="1" applyAlignment="1" applyProtection="1">
      <alignment horizontal="center"/>
      <protection locked="0"/>
    </xf>
    <xf numFmtId="171" fontId="8" fillId="0" borderId="21" xfId="1" applyNumberFormat="1" applyFont="1" applyFill="1" applyBorder="1" applyProtection="1"/>
    <xf numFmtId="44" fontId="8" fillId="0" borderId="20" xfId="1" applyFont="1" applyBorder="1"/>
    <xf numFmtId="49" fontId="8" fillId="9" borderId="20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left" vertical="center"/>
    </xf>
    <xf numFmtId="171" fontId="8" fillId="0" borderId="16" xfId="3" applyNumberFormat="1" applyFont="1" applyBorder="1" applyAlignment="1">
      <alignment vertical="center"/>
    </xf>
    <xf numFmtId="171" fontId="8" fillId="0" borderId="16" xfId="1" applyNumberFormat="1" applyFont="1" applyBorder="1"/>
    <xf numFmtId="0" fontId="15" fillId="0" borderId="24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171" fontId="15" fillId="0" borderId="24" xfId="3" applyNumberFormat="1" applyFont="1" applyBorder="1" applyAlignment="1">
      <alignment vertical="center"/>
    </xf>
    <xf numFmtId="171" fontId="15" fillId="0" borderId="24" xfId="1" applyNumberFormat="1" applyFont="1" applyBorder="1"/>
    <xf numFmtId="166" fontId="15" fillId="13" borderId="24" xfId="2" applyNumberFormat="1" applyFont="1" applyFill="1" applyBorder="1" applyAlignment="1">
      <alignment horizontal="center"/>
    </xf>
    <xf numFmtId="171" fontId="8" fillId="0" borderId="21" xfId="1" applyNumberFormat="1" applyFont="1" applyBorder="1" applyAlignment="1">
      <alignment horizontal="left"/>
    </xf>
    <xf numFmtId="0" fontId="20" fillId="0" borderId="16" xfId="0" applyFont="1" applyBorder="1" applyAlignment="1">
      <alignment horizontal="center"/>
    </xf>
    <xf numFmtId="171" fontId="8" fillId="9" borderId="0" xfId="0" applyNumberFormat="1" applyFont="1" applyFill="1" applyProtection="1">
      <protection locked="0"/>
    </xf>
    <xf numFmtId="172" fontId="8" fillId="9" borderId="0" xfId="0" applyNumberFormat="1" applyFont="1" applyFill="1" applyAlignment="1" applyProtection="1">
      <alignment horizontal="center"/>
      <protection locked="0"/>
    </xf>
    <xf numFmtId="171" fontId="8" fillId="0" borderId="16" xfId="0" applyNumberFormat="1" applyFont="1" applyBorder="1"/>
    <xf numFmtId="0" fontId="19" fillId="0" borderId="0" xfId="0" applyFont="1"/>
    <xf numFmtId="0" fontId="20" fillId="0" borderId="0" xfId="0" applyFont="1" applyAlignment="1">
      <alignment horizontal="center"/>
    </xf>
    <xf numFmtId="9" fontId="8" fillId="9" borderId="22" xfId="0" applyNumberFormat="1" applyFont="1" applyFill="1" applyBorder="1" applyAlignment="1" applyProtection="1">
      <alignment horizontal="center"/>
      <protection locked="0"/>
    </xf>
    <xf numFmtId="166" fontId="8" fillId="0" borderId="0" xfId="2" applyNumberFormat="1" applyFont="1"/>
    <xf numFmtId="0" fontId="21" fillId="0" borderId="0" xfId="0" applyFont="1" applyAlignment="1">
      <alignment horizontal="center"/>
    </xf>
    <xf numFmtId="171" fontId="8" fillId="9" borderId="31" xfId="1" applyNumberFormat="1" applyFont="1" applyFill="1" applyBorder="1" applyProtection="1">
      <protection locked="0"/>
    </xf>
    <xf numFmtId="44" fontId="8" fillId="0" borderId="31" xfId="1" applyFont="1" applyBorder="1"/>
    <xf numFmtId="44" fontId="15" fillId="0" borderId="21" xfId="1" applyFont="1" applyFill="1" applyBorder="1"/>
    <xf numFmtId="0" fontId="13" fillId="10" borderId="20" xfId="0" applyFont="1" applyFill="1" applyBorder="1" applyAlignment="1">
      <alignment horizontal="left"/>
    </xf>
    <xf numFmtId="171" fontId="15" fillId="10" borderId="20" xfId="1" applyNumberFormat="1" applyFont="1" applyFill="1" applyBorder="1"/>
    <xf numFmtId="44" fontId="15" fillId="10" borderId="20" xfId="1" applyFont="1" applyFill="1" applyBorder="1"/>
    <xf numFmtId="0" fontId="19" fillId="0" borderId="16" xfId="0" applyFont="1" applyBorder="1"/>
    <xf numFmtId="165" fontId="8" fillId="0" borderId="0" xfId="0" applyNumberFormat="1" applyFont="1"/>
    <xf numFmtId="44" fontId="8" fillId="0" borderId="0" xfId="1" applyFont="1"/>
    <xf numFmtId="0" fontId="8" fillId="9" borderId="0" xfId="0" applyFont="1" applyFill="1" applyProtection="1">
      <protection locked="0"/>
    </xf>
    <xf numFmtId="4" fontId="13" fillId="0" borderId="0" xfId="0" applyNumberFormat="1" applyFont="1" applyAlignment="1">
      <alignment vertical="center"/>
    </xf>
    <xf numFmtId="4" fontId="13" fillId="0" borderId="16" xfId="0" applyNumberFormat="1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4" fontId="14" fillId="0" borderId="16" xfId="0" applyNumberFormat="1" applyFont="1" applyBorder="1" applyAlignment="1" applyProtection="1">
      <alignment horizontal="left" vertical="center"/>
      <protection locked="0"/>
    </xf>
    <xf numFmtId="0" fontId="8" fillId="9" borderId="23" xfId="0" applyFont="1" applyFill="1" applyBorder="1" applyProtection="1">
      <protection locked="0"/>
    </xf>
    <xf numFmtId="4" fontId="14" fillId="0" borderId="22" xfId="0" applyNumberFormat="1" applyFont="1" applyBorder="1" applyAlignment="1">
      <alignment horizontal="left"/>
    </xf>
    <xf numFmtId="44" fontId="16" fillId="0" borderId="0" xfId="1" applyFont="1"/>
    <xf numFmtId="0" fontId="4" fillId="14" borderId="4" xfId="0" applyFont="1" applyFill="1" applyBorder="1" applyAlignment="1" applyProtection="1">
      <alignment vertical="center"/>
      <protection locked="0"/>
    </xf>
    <xf numFmtId="166" fontId="4" fillId="14" borderId="4" xfId="2" applyNumberFormat="1" applyFont="1" applyFill="1" applyBorder="1" applyAlignment="1" applyProtection="1">
      <alignment horizontal="center" vertical="center"/>
      <protection locked="0"/>
    </xf>
    <xf numFmtId="9" fontId="4" fillId="14" borderId="4" xfId="0" applyNumberFormat="1" applyFont="1" applyFill="1" applyBorder="1" applyAlignment="1" applyProtection="1">
      <alignment horizontal="center" vertical="center"/>
      <protection locked="0"/>
    </xf>
    <xf numFmtId="9" fontId="4" fillId="14" borderId="4" xfId="2" applyFont="1" applyFill="1" applyBorder="1" applyAlignment="1" applyProtection="1">
      <alignment horizontal="center" vertical="center"/>
      <protection locked="0"/>
    </xf>
    <xf numFmtId="165" fontId="4" fillId="14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0" fontId="4" fillId="14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right" vertical="center"/>
    </xf>
    <xf numFmtId="164" fontId="4" fillId="14" borderId="4" xfId="0" applyNumberFormat="1" applyFont="1" applyFill="1" applyBorder="1" applyAlignment="1" applyProtection="1">
      <alignment vertical="center"/>
      <protection locked="0"/>
    </xf>
    <xf numFmtId="167" fontId="4" fillId="14" borderId="4" xfId="0" applyNumberFormat="1" applyFont="1" applyFill="1" applyBorder="1" applyAlignment="1" applyProtection="1">
      <alignment horizontal="center" vertical="center"/>
      <protection locked="0"/>
    </xf>
    <xf numFmtId="5" fontId="4" fillId="14" borderId="4" xfId="0" applyNumberFormat="1" applyFont="1" applyFill="1" applyBorder="1" applyAlignment="1" applyProtection="1">
      <alignment horizontal="center" vertical="center"/>
      <protection locked="0"/>
    </xf>
    <xf numFmtId="166" fontId="4" fillId="0" borderId="4" xfId="2" applyNumberFormat="1" applyFont="1" applyBorder="1" applyAlignment="1" applyProtection="1">
      <alignment horizontal="center" vertical="center"/>
    </xf>
    <xf numFmtId="167" fontId="4" fillId="0" borderId="4" xfId="0" applyNumberFormat="1" applyFont="1" applyFill="1" applyBorder="1" applyAlignment="1" applyProtection="1">
      <alignment horizontal="center" vertical="center"/>
    </xf>
    <xf numFmtId="44" fontId="4" fillId="2" borderId="4" xfId="0" applyNumberFormat="1" applyFont="1" applyFill="1" applyBorder="1" applyAlignment="1" applyProtection="1">
      <alignment vertical="center"/>
    </xf>
    <xf numFmtId="44" fontId="4" fillId="2" borderId="4" xfId="0" applyNumberFormat="1" applyFont="1" applyFill="1" applyBorder="1" applyAlignment="1" applyProtection="1">
      <alignment horizontal="center" vertical="center"/>
    </xf>
    <xf numFmtId="44" fontId="4" fillId="0" borderId="4" xfId="0" applyNumberFormat="1" applyFont="1" applyBorder="1" applyAlignment="1" applyProtection="1">
      <alignment horizontal="center" vertical="center"/>
    </xf>
    <xf numFmtId="44" fontId="4" fillId="0" borderId="4" xfId="0" applyNumberFormat="1" applyFont="1" applyBorder="1" applyAlignment="1" applyProtection="1">
      <alignment vertical="center"/>
    </xf>
    <xf numFmtId="5" fontId="4" fillId="0" borderId="4" xfId="0" applyNumberFormat="1" applyFont="1" applyBorder="1" applyAlignment="1" applyProtection="1">
      <alignment vertical="center"/>
    </xf>
    <xf numFmtId="171" fontId="4" fillId="0" borderId="4" xfId="0" applyNumberFormat="1" applyFont="1" applyBorder="1" applyAlignment="1" applyProtection="1">
      <alignment vertical="center"/>
    </xf>
    <xf numFmtId="167" fontId="4" fillId="14" borderId="34" xfId="0" applyNumberFormat="1" applyFont="1" applyFill="1" applyBorder="1" applyAlignment="1" applyProtection="1">
      <alignment horizontal="center" vertical="center"/>
      <protection locked="0"/>
    </xf>
    <xf numFmtId="171" fontId="8" fillId="0" borderId="35" xfId="1" applyNumberFormat="1" applyFont="1" applyBorder="1"/>
    <xf numFmtId="171" fontId="8" fillId="0" borderId="31" xfId="1" applyNumberFormat="1" applyFont="1" applyBorder="1"/>
    <xf numFmtId="0" fontId="15" fillId="0" borderId="17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71" fontId="8" fillId="0" borderId="35" xfId="1" applyNumberFormat="1" applyFont="1" applyBorder="1" applyProtection="1"/>
    <xf numFmtId="173" fontId="4" fillId="5" borderId="4" xfId="0" applyNumberFormat="1" applyFont="1" applyFill="1" applyBorder="1" applyAlignment="1" applyProtection="1">
      <alignment horizontal="left" vertical="center"/>
      <protection locked="0"/>
    </xf>
    <xf numFmtId="167" fontId="4" fillId="14" borderId="4" xfId="1" applyNumberFormat="1" applyFont="1" applyFill="1" applyBorder="1" applyAlignment="1" applyProtection="1">
      <alignment horizontal="center" vertical="center"/>
      <protection locked="0"/>
    </xf>
    <xf numFmtId="164" fontId="4" fillId="1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9" fontId="4" fillId="2" borderId="4" xfId="2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9" borderId="0" xfId="0" applyFont="1" applyFill="1" applyBorder="1" applyAlignment="1" applyProtection="1">
      <alignment horizontal="center"/>
      <protection locked="0"/>
    </xf>
    <xf numFmtId="10" fontId="8" fillId="0" borderId="0" xfId="2" applyNumberFormat="1" applyFont="1" applyAlignment="1">
      <alignment horizontal="center"/>
    </xf>
    <xf numFmtId="166" fontId="8" fillId="0" borderId="0" xfId="2" applyNumberFormat="1" applyFont="1" applyAlignment="1">
      <alignment horizontal="center"/>
    </xf>
    <xf numFmtId="166" fontId="8" fillId="0" borderId="23" xfId="2" applyNumberFormat="1" applyFont="1" applyBorder="1" applyAlignment="1">
      <alignment horizontal="center"/>
    </xf>
    <xf numFmtId="10" fontId="14" fillId="9" borderId="0" xfId="0" applyNumberFormat="1" applyFont="1" applyFill="1" applyAlignment="1" applyProtection="1">
      <alignment horizontal="center" vertical="center"/>
      <protection locked="0"/>
    </xf>
    <xf numFmtId="167" fontId="8" fillId="0" borderId="0" xfId="0" applyNumberFormat="1" applyFont="1" applyBorder="1"/>
    <xf numFmtId="0" fontId="8" fillId="0" borderId="0" xfId="0" applyFont="1" applyBorder="1"/>
    <xf numFmtId="9" fontId="14" fillId="9" borderId="2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2" fillId="15" borderId="0" xfId="0" applyFont="1" applyFill="1" applyAlignment="1">
      <alignment vertical="center"/>
    </xf>
    <xf numFmtId="0" fontId="23" fillId="16" borderId="4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1" fontId="4" fillId="1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0" fillId="2" borderId="51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67" fontId="4" fillId="14" borderId="53" xfId="1" applyNumberFormat="1" applyFont="1" applyFill="1" applyBorder="1" applyAlignment="1" applyProtection="1">
      <alignment horizontal="center" vertical="center"/>
      <protection locked="0"/>
    </xf>
    <xf numFmtId="167" fontId="4" fillId="2" borderId="52" xfId="0" applyNumberFormat="1" applyFont="1" applyFill="1" applyBorder="1" applyAlignment="1">
      <alignment horizontal="center" vertical="center"/>
    </xf>
    <xf numFmtId="0" fontId="4" fillId="14" borderId="53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>
      <alignment horizontal="center" vertical="center"/>
    </xf>
    <xf numFmtId="0" fontId="0" fillId="2" borderId="0" xfId="0" applyFill="1"/>
    <xf numFmtId="10" fontId="8" fillId="9" borderId="0" xfId="2" applyNumberFormat="1" applyFont="1" applyFill="1" applyAlignment="1">
      <alignment horizontal="center"/>
    </xf>
    <xf numFmtId="10" fontId="8" fillId="9" borderId="23" xfId="2" applyNumberFormat="1" applyFont="1" applyFill="1" applyBorder="1" applyAlignment="1">
      <alignment horizontal="center"/>
    </xf>
    <xf numFmtId="10" fontId="8" fillId="9" borderId="46" xfId="2" applyNumberFormat="1" applyFont="1" applyFill="1" applyBorder="1" applyAlignment="1">
      <alignment horizontal="center"/>
    </xf>
    <xf numFmtId="172" fontId="8" fillId="9" borderId="22" xfId="0" applyNumberFormat="1" applyFont="1" applyFill="1" applyBorder="1" applyAlignment="1" applyProtection="1">
      <alignment horizontal="center"/>
      <protection locked="0"/>
    </xf>
    <xf numFmtId="0" fontId="8" fillId="9" borderId="0" xfId="0" applyFont="1" applyFill="1"/>
    <xf numFmtId="166" fontId="8" fillId="9" borderId="23" xfId="0" applyNumberFormat="1" applyFont="1" applyFill="1" applyBorder="1" applyAlignment="1">
      <alignment horizontal="center"/>
    </xf>
    <xf numFmtId="9" fontId="8" fillId="9" borderId="0" xfId="2" applyFont="1" applyFill="1" applyAlignment="1">
      <alignment horizontal="center"/>
    </xf>
    <xf numFmtId="9" fontId="15" fillId="0" borderId="0" xfId="0" applyNumberFormat="1" applyFont="1" applyFill="1" applyAlignment="1" applyProtection="1">
      <alignment horizontal="center"/>
      <protection locked="0"/>
    </xf>
    <xf numFmtId="171" fontId="8" fillId="9" borderId="35" xfId="1" applyNumberFormat="1" applyFont="1" applyFill="1" applyBorder="1" applyProtection="1">
      <protection locked="0"/>
    </xf>
    <xf numFmtId="44" fontId="8" fillId="0" borderId="35" xfId="1" applyFont="1" applyBorder="1"/>
    <xf numFmtId="171" fontId="15" fillId="0" borderId="16" xfId="1" applyNumberFormat="1" applyFont="1" applyBorder="1" applyAlignment="1">
      <alignment horizontal="center"/>
    </xf>
    <xf numFmtId="171" fontId="8" fillId="17" borderId="0" xfId="1" applyNumberFormat="1" applyFont="1" applyFill="1"/>
    <xf numFmtId="171" fontId="8" fillId="17" borderId="23" xfId="1" applyNumberFormat="1" applyFont="1" applyFill="1" applyBorder="1"/>
    <xf numFmtId="171" fontId="8" fillId="0" borderId="24" xfId="1" applyNumberFormat="1" applyFont="1" applyFill="1" applyBorder="1"/>
    <xf numFmtId="171" fontId="8" fillId="17" borderId="0" xfId="1" applyNumberFormat="1" applyFont="1" applyFill="1" applyProtection="1">
      <protection locked="0"/>
    </xf>
    <xf numFmtId="44" fontId="8" fillId="0" borderId="35" xfId="1" applyFont="1" applyBorder="1" applyProtection="1"/>
    <xf numFmtId="171" fontId="15" fillId="10" borderId="35" xfId="1" applyNumberFormat="1" applyFont="1" applyFill="1" applyBorder="1"/>
    <xf numFmtId="0" fontId="15" fillId="10" borderId="37" xfId="0" applyFont="1" applyFill="1" applyBorder="1"/>
    <xf numFmtId="0" fontId="17" fillId="10" borderId="47" xfId="0" applyFont="1" applyFill="1" applyBorder="1"/>
    <xf numFmtId="44" fontId="17" fillId="10" borderId="38" xfId="1" applyFont="1" applyFill="1" applyBorder="1" applyAlignment="1"/>
    <xf numFmtId="49" fontId="15" fillId="10" borderId="37" xfId="0" applyNumberFormat="1" applyFont="1" applyFill="1" applyBorder="1" applyAlignment="1">
      <alignment horizontal="left"/>
    </xf>
    <xf numFmtId="171" fontId="8" fillId="9" borderId="36" xfId="1" applyNumberFormat="1" applyFont="1" applyFill="1" applyBorder="1" applyProtection="1">
      <protection locked="0"/>
    </xf>
    <xf numFmtId="44" fontId="8" fillId="0" borderId="56" xfId="1" applyFont="1" applyBorder="1" applyProtection="1"/>
    <xf numFmtId="49" fontId="8" fillId="10" borderId="47" xfId="0" applyNumberFormat="1" applyFont="1" applyFill="1" applyBorder="1" applyAlignment="1">
      <alignment horizontal="left"/>
    </xf>
    <xf numFmtId="171" fontId="8" fillId="10" borderId="47" xfId="1" applyNumberFormat="1" applyFont="1" applyFill="1" applyBorder="1" applyProtection="1">
      <protection locked="0"/>
    </xf>
    <xf numFmtId="44" fontId="8" fillId="10" borderId="47" xfId="1" applyFont="1" applyFill="1" applyBorder="1" applyProtection="1"/>
    <xf numFmtId="171" fontId="8" fillId="10" borderId="47" xfId="1" applyNumberFormat="1" applyFont="1" applyFill="1" applyBorder="1" applyProtection="1"/>
    <xf numFmtId="44" fontId="8" fillId="10" borderId="38" xfId="1" applyFont="1" applyFill="1" applyBorder="1" applyProtection="1"/>
    <xf numFmtId="171" fontId="8" fillId="9" borderId="56" xfId="1" applyNumberFormat="1" applyFont="1" applyFill="1" applyBorder="1" applyProtection="1">
      <protection locked="0"/>
    </xf>
    <xf numFmtId="171" fontId="8" fillId="18" borderId="47" xfId="1" applyNumberFormat="1" applyFont="1" applyFill="1" applyBorder="1" applyProtection="1">
      <protection locked="0"/>
    </xf>
    <xf numFmtId="44" fontId="8" fillId="18" borderId="47" xfId="1" applyFont="1" applyFill="1" applyBorder="1" applyProtection="1"/>
    <xf numFmtId="171" fontId="8" fillId="18" borderId="47" xfId="1" applyNumberFormat="1" applyFont="1" applyFill="1" applyBorder="1" applyProtection="1"/>
    <xf numFmtId="44" fontId="8" fillId="18" borderId="38" xfId="1" applyFont="1" applyFill="1" applyBorder="1" applyProtection="1"/>
    <xf numFmtId="171" fontId="8" fillId="0" borderId="56" xfId="1" applyNumberFormat="1" applyFont="1" applyBorder="1" applyProtection="1"/>
    <xf numFmtId="165" fontId="8" fillId="0" borderId="0" xfId="0" applyNumberFormat="1" applyFont="1" applyBorder="1"/>
    <xf numFmtId="0" fontId="17" fillId="7" borderId="0" xfId="0" applyFont="1" applyFill="1" applyBorder="1"/>
    <xf numFmtId="167" fontId="15" fillId="0" borderId="57" xfId="0" applyNumberFormat="1" applyFont="1" applyBorder="1" applyAlignment="1">
      <alignment horizontal="center" vertical="center" wrapText="1"/>
    </xf>
    <xf numFmtId="165" fontId="15" fillId="0" borderId="58" xfId="0" applyNumberFormat="1" applyFont="1" applyBorder="1" applyAlignment="1">
      <alignment horizontal="center" vertical="center" wrapText="1"/>
    </xf>
    <xf numFmtId="167" fontId="15" fillId="0" borderId="58" xfId="0" applyNumberFormat="1" applyFont="1" applyBorder="1" applyAlignment="1">
      <alignment horizontal="center" vertical="center" wrapText="1"/>
    </xf>
    <xf numFmtId="44" fontId="15" fillId="0" borderId="59" xfId="1" applyFont="1" applyFill="1" applyBorder="1" applyAlignment="1">
      <alignment horizontal="center" vertical="center" wrapText="1"/>
    </xf>
    <xf numFmtId="171" fontId="8" fillId="17" borderId="21" xfId="1" applyNumberFormat="1" applyFont="1" applyFill="1" applyBorder="1"/>
    <xf numFmtId="171" fontId="8" fillId="17" borderId="21" xfId="1" applyNumberFormat="1" applyFont="1" applyFill="1" applyBorder="1" applyAlignment="1">
      <alignment horizontal="left"/>
    </xf>
    <xf numFmtId="171" fontId="8" fillId="17" borderId="35" xfId="1" applyNumberFormat="1" applyFont="1" applyFill="1" applyBorder="1"/>
    <xf numFmtId="171" fontId="8" fillId="17" borderId="31" xfId="1" applyNumberFormat="1" applyFont="1" applyFill="1" applyBorder="1"/>
    <xf numFmtId="171" fontId="8" fillId="17" borderId="21" xfId="1" applyNumberFormat="1" applyFont="1" applyFill="1" applyBorder="1" applyProtection="1"/>
    <xf numFmtId="171" fontId="8" fillId="17" borderId="35" xfId="1" applyNumberFormat="1" applyFont="1" applyFill="1" applyBorder="1" applyProtection="1"/>
    <xf numFmtId="171" fontId="8" fillId="17" borderId="56" xfId="1" applyNumberFormat="1" applyFont="1" applyFill="1" applyBorder="1" applyProtection="1"/>
    <xf numFmtId="168" fontId="11" fillId="0" borderId="15" xfId="0" applyNumberFormat="1" applyFont="1" applyBorder="1" applyAlignment="1">
      <alignment horizontal="center"/>
    </xf>
    <xf numFmtId="166" fontId="8" fillId="9" borderId="20" xfId="2" applyNumberFormat="1" applyFont="1" applyFill="1" applyBorder="1" applyAlignment="1" applyProtection="1">
      <alignment horizontal="center"/>
      <protection locked="0"/>
    </xf>
    <xf numFmtId="10" fontId="8" fillId="9" borderId="20" xfId="2" applyNumberFormat="1" applyFont="1" applyFill="1" applyBorder="1" applyAlignment="1" applyProtection="1">
      <alignment horizontal="center"/>
      <protection locked="0"/>
    </xf>
    <xf numFmtId="171" fontId="8" fillId="9" borderId="22" xfId="1" applyNumberFormat="1" applyFont="1" applyFill="1" applyBorder="1" applyProtection="1">
      <protection locked="0"/>
    </xf>
    <xf numFmtId="171" fontId="8" fillId="19" borderId="0" xfId="1" applyNumberFormat="1" applyFont="1" applyFill="1" applyProtection="1">
      <protection locked="0"/>
    </xf>
    <xf numFmtId="171" fontId="8" fillId="19" borderId="0" xfId="1" applyNumberFormat="1" applyFont="1" applyFill="1"/>
    <xf numFmtId="171" fontId="8" fillId="19" borderId="23" xfId="1" applyNumberFormat="1" applyFont="1" applyFill="1" applyBorder="1"/>
    <xf numFmtId="44" fontId="15" fillId="0" borderId="0" xfId="1" applyFont="1" applyFill="1" applyBorder="1" applyAlignment="1">
      <alignment horizontal="center" vertical="center" wrapText="1"/>
    </xf>
    <xf numFmtId="9" fontId="8" fillId="19" borderId="0" xfId="2" applyFont="1" applyFill="1" applyAlignment="1">
      <alignment horizontal="center"/>
    </xf>
    <xf numFmtId="166" fontId="8" fillId="19" borderId="0" xfId="0" applyNumberFormat="1" applyFont="1" applyFill="1" applyAlignment="1" applyProtection="1">
      <alignment horizontal="center"/>
      <protection locked="0"/>
    </xf>
    <xf numFmtId="166" fontId="8" fillId="19" borderId="23" xfId="0" applyNumberFormat="1" applyFont="1" applyFill="1" applyBorder="1" applyAlignment="1" applyProtection="1">
      <alignment horizontal="center"/>
      <protection locked="0"/>
    </xf>
    <xf numFmtId="172" fontId="8" fillId="19" borderId="23" xfId="0" applyNumberFormat="1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right"/>
    </xf>
    <xf numFmtId="171" fontId="15" fillId="10" borderId="38" xfId="1" applyNumberFormat="1" applyFont="1" applyFill="1" applyBorder="1"/>
    <xf numFmtId="49" fontId="8" fillId="9" borderId="54" xfId="0" applyNumberFormat="1" applyFont="1" applyFill="1" applyBorder="1" applyAlignment="1">
      <alignment horizontal="left"/>
    </xf>
    <xf numFmtId="49" fontId="8" fillId="9" borderId="55" xfId="0" applyNumberFormat="1" applyFont="1" applyFill="1" applyBorder="1" applyAlignment="1">
      <alignment horizontal="left"/>
    </xf>
    <xf numFmtId="49" fontId="8" fillId="8" borderId="20" xfId="0" applyNumberFormat="1" applyFont="1" applyFill="1" applyBorder="1" applyAlignment="1">
      <alignment horizontal="left"/>
    </xf>
    <xf numFmtId="49" fontId="8" fillId="8" borderId="54" xfId="0" applyNumberFormat="1" applyFont="1" applyFill="1" applyBorder="1" applyAlignment="1">
      <alignment horizontal="left"/>
    </xf>
    <xf numFmtId="49" fontId="8" fillId="8" borderId="55" xfId="0" applyNumberFormat="1" applyFont="1" applyFill="1" applyBorder="1" applyAlignment="1">
      <alignment horizontal="left"/>
    </xf>
    <xf numFmtId="0" fontId="8" fillId="0" borderId="0" xfId="0" applyFont="1" applyAlignment="1">
      <alignment horizontal="right"/>
    </xf>
    <xf numFmtId="49" fontId="8" fillId="0" borderId="8" xfId="0" applyNumberFormat="1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171" fontId="8" fillId="0" borderId="27" xfId="1" applyNumberFormat="1" applyFont="1" applyFill="1" applyBorder="1" applyProtection="1">
      <protection locked="0"/>
    </xf>
    <xf numFmtId="0" fontId="8" fillId="0" borderId="35" xfId="0" applyFont="1" applyBorder="1"/>
    <xf numFmtId="0" fontId="15" fillId="20" borderId="35" xfId="0" applyFont="1" applyFill="1" applyBorder="1"/>
    <xf numFmtId="49" fontId="8" fillId="0" borderId="37" xfId="0" applyNumberFormat="1" applyFont="1" applyFill="1" applyBorder="1" applyAlignment="1">
      <alignment horizontal="left"/>
    </xf>
    <xf numFmtId="167" fontId="8" fillId="0" borderId="16" xfId="0" applyNumberFormat="1" applyFont="1" applyBorder="1" applyAlignment="1" applyProtection="1">
      <alignment horizontal="left"/>
      <protection locked="0"/>
    </xf>
    <xf numFmtId="167" fontId="8" fillId="0" borderId="9" xfId="0" applyNumberFormat="1" applyFont="1" applyBorder="1" applyAlignment="1" applyProtection="1">
      <alignment horizontal="left"/>
      <protection locked="0"/>
    </xf>
    <xf numFmtId="49" fontId="15" fillId="18" borderId="37" xfId="0" applyNumberFormat="1" applyFont="1" applyFill="1" applyBorder="1" applyAlignment="1">
      <alignment horizontal="left"/>
    </xf>
    <xf numFmtId="49" fontId="15" fillId="0" borderId="26" xfId="0" applyNumberFormat="1" applyFont="1" applyBorder="1" applyAlignment="1">
      <alignment horizontal="left"/>
    </xf>
    <xf numFmtId="49" fontId="8" fillId="0" borderId="37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>
      <alignment horizontal="left"/>
    </xf>
    <xf numFmtId="49" fontId="8" fillId="0" borderId="21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left"/>
    </xf>
    <xf numFmtId="49" fontId="8" fillId="0" borderId="61" xfId="0" applyNumberFormat="1" applyFont="1" applyFill="1" applyBorder="1" applyAlignment="1">
      <alignment horizontal="left"/>
    </xf>
    <xf numFmtId="49" fontId="8" fillId="0" borderId="26" xfId="0" applyNumberFormat="1" applyFont="1" applyFill="1" applyBorder="1" applyAlignment="1">
      <alignment horizontal="left"/>
    </xf>
    <xf numFmtId="49" fontId="8" fillId="0" borderId="8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 applyProtection="1">
      <alignment horizontal="left"/>
      <protection locked="0"/>
    </xf>
    <xf numFmtId="171" fontId="8" fillId="0" borderId="27" xfId="1" applyNumberFormat="1" applyFont="1" applyFill="1" applyBorder="1" applyProtection="1"/>
    <xf numFmtId="49" fontId="8" fillId="0" borderId="37" xfId="0" applyNumberFormat="1" applyFont="1" applyFill="1" applyBorder="1" applyProtection="1">
      <protection locked="0"/>
    </xf>
    <xf numFmtId="49" fontId="8" fillId="0" borderId="60" xfId="0" applyNumberFormat="1" applyFont="1" applyFill="1" applyBorder="1" applyAlignment="1" applyProtection="1">
      <alignment horizontal="left"/>
      <protection locked="0"/>
    </xf>
    <xf numFmtId="49" fontId="8" fillId="0" borderId="37" xfId="0" applyNumberFormat="1" applyFont="1" applyFill="1" applyBorder="1"/>
    <xf numFmtId="171" fontId="8" fillId="0" borderId="21" xfId="1" applyNumberFormat="1" applyFont="1" applyFill="1" applyBorder="1" applyProtection="1">
      <protection locked="0"/>
    </xf>
    <xf numFmtId="0" fontId="8" fillId="0" borderId="35" xfId="0" applyFont="1" applyFill="1" applyBorder="1"/>
    <xf numFmtId="49" fontId="8" fillId="0" borderId="35" xfId="0" applyNumberFormat="1" applyFont="1" applyFill="1" applyBorder="1" applyAlignment="1">
      <alignment horizontal="left"/>
    </xf>
    <xf numFmtId="49" fontId="8" fillId="0" borderId="56" xfId="0" applyNumberFormat="1" applyFont="1" applyFill="1" applyBorder="1" applyAlignment="1">
      <alignment horizontal="left"/>
    </xf>
    <xf numFmtId="0" fontId="8" fillId="0" borderId="37" xfId="0" applyFont="1" applyFill="1" applyBorder="1"/>
    <xf numFmtId="49" fontId="8" fillId="0" borderId="62" xfId="0" applyNumberFormat="1" applyFont="1" applyFill="1" applyBorder="1" applyAlignment="1">
      <alignment horizontal="left"/>
    </xf>
    <xf numFmtId="49" fontId="8" fillId="0" borderId="54" xfId="0" applyNumberFormat="1" applyFont="1" applyFill="1" applyBorder="1" applyAlignment="1">
      <alignment horizontal="left"/>
    </xf>
    <xf numFmtId="0" fontId="8" fillId="0" borderId="0" xfId="0" applyFont="1" applyFill="1"/>
    <xf numFmtId="0" fontId="15" fillId="0" borderId="63" xfId="0" applyFont="1" applyFill="1" applyBorder="1" applyAlignment="1">
      <alignment horizontal="left"/>
    </xf>
    <xf numFmtId="0" fontId="13" fillId="10" borderId="57" xfId="0" applyFont="1" applyFill="1" applyBorder="1" applyAlignment="1">
      <alignment horizontal="left"/>
    </xf>
    <xf numFmtId="171" fontId="15" fillId="10" borderId="59" xfId="1" applyNumberFormat="1" applyFont="1" applyFill="1" applyBorder="1"/>
    <xf numFmtId="0" fontId="4" fillId="5" borderId="2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4" fillId="5" borderId="3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7" xfId="0" applyFont="1" applyFill="1" applyBorder="1" applyAlignment="1" applyProtection="1">
      <alignment horizontal="left" vertical="top" wrapText="1"/>
      <protection locked="0"/>
    </xf>
    <xf numFmtId="0" fontId="4" fillId="5" borderId="39" xfId="0" applyFont="1" applyFill="1" applyBorder="1" applyAlignment="1" applyProtection="1">
      <alignment horizontal="left" vertical="top" wrapText="1"/>
      <protection locked="0"/>
    </xf>
    <xf numFmtId="0" fontId="4" fillId="5" borderId="40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5" borderId="13" xfId="0" applyFont="1" applyFill="1" applyBorder="1" applyAlignment="1" applyProtection="1">
      <alignment horizontal="left" vertical="center"/>
      <protection locked="0"/>
    </xf>
    <xf numFmtId="0" fontId="4" fillId="5" borderId="14" xfId="0" applyFont="1" applyFill="1" applyBorder="1" applyAlignment="1" applyProtection="1">
      <alignment horizontal="left" vertical="center"/>
      <protection locked="0"/>
    </xf>
    <xf numFmtId="167" fontId="4" fillId="0" borderId="2" xfId="1" applyNumberFormat="1" applyFont="1" applyFill="1" applyBorder="1" applyAlignment="1" applyProtection="1">
      <alignment horizontal="center" vertical="center"/>
    </xf>
    <xf numFmtId="167" fontId="4" fillId="0" borderId="1" xfId="1" applyNumberFormat="1" applyFont="1" applyFill="1" applyBorder="1" applyAlignment="1" applyProtection="1">
      <alignment horizontal="center" vertical="center"/>
    </xf>
    <xf numFmtId="167" fontId="4" fillId="0" borderId="3" xfId="1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66" fontId="4" fillId="14" borderId="2" xfId="2" applyNumberFormat="1" applyFont="1" applyFill="1" applyBorder="1" applyAlignment="1" applyProtection="1">
      <alignment horizontal="center" vertical="center"/>
      <protection locked="0"/>
    </xf>
    <xf numFmtId="166" fontId="4" fillId="14" borderId="3" xfId="2" applyNumberFormat="1" applyFont="1" applyFill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</xf>
    <xf numFmtId="167" fontId="4" fillId="0" borderId="3" xfId="0" applyNumberFormat="1" applyFont="1" applyBorder="1" applyAlignment="1" applyProtection="1">
      <alignment horizontal="center" vertical="center"/>
    </xf>
    <xf numFmtId="167" fontId="4" fillId="0" borderId="2" xfId="1" applyNumberFormat="1" applyFont="1" applyBorder="1" applyAlignment="1" applyProtection="1">
      <alignment horizontal="center" vertical="center"/>
      <protection locked="0"/>
    </xf>
    <xf numFmtId="167" fontId="4" fillId="0" borderId="3" xfId="1" applyNumberFormat="1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 applyProtection="1">
      <alignment horizontal="left" vertical="center"/>
      <protection locked="0"/>
    </xf>
    <xf numFmtId="167" fontId="4" fillId="5" borderId="2" xfId="1" applyNumberFormat="1" applyFont="1" applyFill="1" applyBorder="1" applyAlignment="1" applyProtection="1">
      <alignment horizontal="center" vertical="center"/>
      <protection locked="0"/>
    </xf>
    <xf numFmtId="167" fontId="4" fillId="5" borderId="1" xfId="1" applyNumberFormat="1" applyFont="1" applyFill="1" applyBorder="1" applyAlignment="1" applyProtection="1">
      <alignment horizontal="center" vertical="center"/>
      <protection locked="0"/>
    </xf>
    <xf numFmtId="167" fontId="4" fillId="5" borderId="3" xfId="1" applyNumberFormat="1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0" fontId="4" fillId="5" borderId="6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 applyProtection="1">
      <alignment horizontal="left" vertical="center" wrapText="1"/>
      <protection locked="0"/>
    </xf>
    <xf numFmtId="166" fontId="4" fillId="2" borderId="2" xfId="2" applyNumberFormat="1" applyFont="1" applyFill="1" applyBorder="1" applyAlignment="1" applyProtection="1">
      <alignment horizontal="center" vertical="center"/>
    </xf>
    <xf numFmtId="166" fontId="4" fillId="2" borderId="1" xfId="2" applyNumberFormat="1" applyFont="1" applyFill="1" applyBorder="1" applyAlignment="1" applyProtection="1">
      <alignment horizontal="center" vertical="center"/>
    </xf>
    <xf numFmtId="166" fontId="4" fillId="2" borderId="3" xfId="2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42" xfId="0" applyFont="1" applyFill="1" applyBorder="1" applyAlignment="1" applyProtection="1">
      <alignment horizontal="center" vertical="center"/>
      <protection locked="0"/>
    </xf>
    <xf numFmtId="0" fontId="4" fillId="5" borderId="43" xfId="0" applyFont="1" applyFill="1" applyBorder="1" applyAlignment="1" applyProtection="1">
      <alignment horizontal="center" vertical="center"/>
      <protection locked="0"/>
    </xf>
    <xf numFmtId="0" fontId="4" fillId="5" borderId="4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5" fontId="4" fillId="5" borderId="2" xfId="1" applyNumberFormat="1" applyFont="1" applyFill="1" applyBorder="1" applyAlignment="1" applyProtection="1">
      <alignment horizontal="center" vertical="center"/>
      <protection locked="0"/>
    </xf>
    <xf numFmtId="5" fontId="4" fillId="5" borderId="1" xfId="1" applyNumberFormat="1" applyFont="1" applyFill="1" applyBorder="1" applyAlignment="1" applyProtection="1">
      <alignment horizontal="center" vertical="center"/>
      <protection locked="0"/>
    </xf>
    <xf numFmtId="5" fontId="4" fillId="5" borderId="3" xfId="1" applyNumberFormat="1" applyFont="1" applyFill="1" applyBorder="1" applyAlignment="1" applyProtection="1">
      <alignment horizontal="center" vertical="center"/>
      <protection locked="0"/>
    </xf>
    <xf numFmtId="167" fontId="4" fillId="2" borderId="2" xfId="1" applyNumberFormat="1" applyFont="1" applyFill="1" applyBorder="1" applyAlignment="1" applyProtection="1">
      <alignment horizontal="center" vertical="center"/>
    </xf>
    <xf numFmtId="167" fontId="4" fillId="2" borderId="1" xfId="1" applyNumberFormat="1" applyFont="1" applyFill="1" applyBorder="1" applyAlignment="1" applyProtection="1">
      <alignment horizontal="center" vertical="center"/>
    </xf>
    <xf numFmtId="167" fontId="4" fillId="2" borderId="3" xfId="1" applyNumberFormat="1" applyFont="1" applyFill="1" applyBorder="1" applyAlignment="1" applyProtection="1">
      <alignment horizontal="center" vertical="center"/>
    </xf>
    <xf numFmtId="165" fontId="4" fillId="5" borderId="2" xfId="1" applyNumberFormat="1" applyFont="1" applyFill="1" applyBorder="1" applyAlignment="1" applyProtection="1">
      <alignment horizontal="center" vertical="center"/>
      <protection locked="0"/>
    </xf>
    <xf numFmtId="165" fontId="4" fillId="5" borderId="1" xfId="1" applyNumberFormat="1" applyFont="1" applyFill="1" applyBorder="1" applyAlignment="1" applyProtection="1">
      <alignment horizontal="center" vertical="center"/>
      <protection locked="0"/>
    </xf>
    <xf numFmtId="165" fontId="4" fillId="5" borderId="3" xfId="1" applyNumberFormat="1" applyFont="1" applyFill="1" applyBorder="1" applyAlignment="1" applyProtection="1">
      <alignment horizontal="center" vertical="center"/>
      <protection locked="0"/>
    </xf>
    <xf numFmtId="166" fontId="4" fillId="5" borderId="2" xfId="2" applyNumberFormat="1" applyFont="1" applyFill="1" applyBorder="1" applyAlignment="1" applyProtection="1">
      <alignment horizontal="center" vertical="center"/>
      <protection locked="0"/>
    </xf>
    <xf numFmtId="166" fontId="4" fillId="5" borderId="1" xfId="2" applyNumberFormat="1" applyFont="1" applyFill="1" applyBorder="1" applyAlignment="1" applyProtection="1">
      <alignment horizontal="center" vertical="center"/>
      <protection locked="0"/>
    </xf>
    <xf numFmtId="166" fontId="4" fillId="5" borderId="3" xfId="2" applyNumberFormat="1" applyFont="1" applyFill="1" applyBorder="1" applyAlignment="1" applyProtection="1">
      <alignment horizontal="center" vertical="center"/>
      <protection locked="0"/>
    </xf>
    <xf numFmtId="9" fontId="4" fillId="5" borderId="2" xfId="2" applyNumberFormat="1" applyFont="1" applyFill="1" applyBorder="1" applyAlignment="1" applyProtection="1">
      <alignment horizontal="center" vertical="center"/>
      <protection locked="0"/>
    </xf>
    <xf numFmtId="9" fontId="4" fillId="5" borderId="1" xfId="2" applyNumberFormat="1" applyFont="1" applyFill="1" applyBorder="1" applyAlignment="1" applyProtection="1">
      <alignment horizontal="center" vertical="center"/>
      <protection locked="0"/>
    </xf>
    <xf numFmtId="9" fontId="4" fillId="5" borderId="3" xfId="2" applyNumberFormat="1" applyFont="1" applyFill="1" applyBorder="1" applyAlignment="1" applyProtection="1">
      <alignment horizontal="center" vertical="center"/>
      <protection locked="0"/>
    </xf>
    <xf numFmtId="9" fontId="4" fillId="2" borderId="2" xfId="2" applyFont="1" applyFill="1" applyBorder="1" applyAlignment="1" applyProtection="1">
      <alignment horizontal="center" vertical="center"/>
    </xf>
    <xf numFmtId="9" fontId="4" fillId="2" borderId="1" xfId="2" applyFont="1" applyFill="1" applyBorder="1" applyAlignment="1" applyProtection="1">
      <alignment horizontal="center" vertical="center"/>
    </xf>
    <xf numFmtId="9" fontId="4" fillId="2" borderId="3" xfId="2" applyFont="1" applyFill="1" applyBorder="1" applyAlignment="1" applyProtection="1">
      <alignment horizontal="center" vertical="center"/>
    </xf>
    <xf numFmtId="5" fontId="4" fillId="5" borderId="2" xfId="0" applyNumberFormat="1" applyFont="1" applyFill="1" applyBorder="1" applyAlignment="1" applyProtection="1">
      <alignment horizontal="center" vertical="center"/>
      <protection locked="0"/>
    </xf>
    <xf numFmtId="5" fontId="4" fillId="2" borderId="2" xfId="1" applyNumberFormat="1" applyFont="1" applyFill="1" applyBorder="1" applyAlignment="1" applyProtection="1">
      <alignment horizontal="center" vertical="center"/>
    </xf>
    <xf numFmtId="5" fontId="4" fillId="2" borderId="1" xfId="1" applyNumberFormat="1" applyFont="1" applyFill="1" applyBorder="1" applyAlignment="1" applyProtection="1">
      <alignment horizontal="center" vertical="center"/>
    </xf>
    <xf numFmtId="5" fontId="4" fillId="2" borderId="3" xfId="1" applyNumberFormat="1" applyFont="1" applyFill="1" applyBorder="1" applyAlignment="1" applyProtection="1">
      <alignment horizontal="center" vertical="center"/>
    </xf>
    <xf numFmtId="167" fontId="4" fillId="5" borderId="5" xfId="1" applyNumberFormat="1" applyFont="1" applyFill="1" applyBorder="1" applyAlignment="1" applyProtection="1">
      <alignment horizontal="center" vertical="center"/>
      <protection locked="0"/>
    </xf>
    <xf numFmtId="167" fontId="4" fillId="5" borderId="6" xfId="1" applyNumberFormat="1" applyFont="1" applyFill="1" applyBorder="1" applyAlignment="1" applyProtection="1">
      <alignment horizontal="center" vertical="center"/>
      <protection locked="0"/>
    </xf>
    <xf numFmtId="167" fontId="4" fillId="5" borderId="7" xfId="1" applyNumberFormat="1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left" vertical="top" wrapText="1"/>
      <protection locked="0"/>
    </xf>
    <xf numFmtId="0" fontId="8" fillId="5" borderId="6" xfId="0" applyFont="1" applyFill="1" applyBorder="1" applyAlignment="1" applyProtection="1">
      <alignment horizontal="left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0" fontId="8" fillId="5" borderId="39" xfId="0" applyFont="1" applyFill="1" applyBorder="1" applyAlignment="1" applyProtection="1">
      <alignment horizontal="left" vertical="top" wrapText="1"/>
      <protection locked="0"/>
    </xf>
    <xf numFmtId="0" fontId="8" fillId="5" borderId="40" xfId="0" applyFont="1" applyFill="1" applyBorder="1" applyAlignment="1" applyProtection="1">
      <alignment horizontal="left" vertical="top" wrapText="1"/>
      <protection locked="0"/>
    </xf>
    <xf numFmtId="0" fontId="8" fillId="5" borderId="4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67" fontId="4" fillId="2" borderId="2" xfId="1" applyNumberFormat="1" applyFont="1" applyFill="1" applyBorder="1" applyAlignment="1" applyProtection="1">
      <alignment horizontal="center" vertical="center"/>
      <protection locked="0"/>
    </xf>
    <xf numFmtId="167" fontId="4" fillId="2" borderId="1" xfId="1" applyNumberFormat="1" applyFont="1" applyFill="1" applyBorder="1" applyAlignment="1" applyProtection="1">
      <alignment horizontal="center" vertical="center"/>
      <protection locked="0"/>
    </xf>
    <xf numFmtId="167" fontId="4" fillId="2" borderId="3" xfId="1" applyNumberFormat="1" applyFont="1" applyFill="1" applyBorder="1" applyAlignment="1" applyProtection="1">
      <alignment horizontal="center" vertical="center"/>
      <protection locked="0"/>
    </xf>
    <xf numFmtId="167" fontId="4" fillId="2" borderId="42" xfId="1" applyNumberFormat="1" applyFont="1" applyFill="1" applyBorder="1" applyAlignment="1" applyProtection="1">
      <alignment horizontal="center" vertical="center"/>
    </xf>
    <xf numFmtId="167" fontId="4" fillId="2" borderId="43" xfId="1" applyNumberFormat="1" applyFont="1" applyFill="1" applyBorder="1" applyAlignment="1" applyProtection="1">
      <alignment horizontal="center" vertical="center"/>
    </xf>
    <xf numFmtId="167" fontId="4" fillId="2" borderId="44" xfId="1" applyNumberFormat="1" applyFont="1" applyFill="1" applyBorder="1" applyAlignment="1" applyProtection="1">
      <alignment horizontal="center" vertical="center"/>
    </xf>
    <xf numFmtId="165" fontId="4" fillId="2" borderId="50" xfId="1" applyNumberFormat="1" applyFont="1" applyFill="1" applyBorder="1" applyAlignment="1" applyProtection="1">
      <alignment horizontal="center" vertical="center"/>
    </xf>
    <xf numFmtId="165" fontId="4" fillId="2" borderId="49" xfId="1" applyNumberFormat="1" applyFont="1" applyFill="1" applyBorder="1" applyAlignment="1" applyProtection="1">
      <alignment horizontal="center" vertical="center"/>
    </xf>
    <xf numFmtId="165" fontId="4" fillId="2" borderId="48" xfId="1" applyNumberFormat="1" applyFont="1" applyFill="1" applyBorder="1" applyAlignment="1" applyProtection="1">
      <alignment horizontal="center" vertical="center"/>
    </xf>
    <xf numFmtId="167" fontId="8" fillId="0" borderId="16" xfId="0" applyNumberFormat="1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5" fontId="8" fillId="0" borderId="16" xfId="3" applyNumberFormat="1" applyFont="1" applyBorder="1" applyAlignment="1" applyProtection="1">
      <alignment horizontal="left"/>
      <protection locked="0"/>
    </xf>
    <xf numFmtId="49" fontId="8" fillId="8" borderId="37" xfId="0" applyNumberFormat="1" applyFont="1" applyFill="1" applyBorder="1" applyAlignment="1">
      <alignment horizontal="left"/>
    </xf>
    <xf numFmtId="49" fontId="8" fillId="8" borderId="38" xfId="0" applyNumberFormat="1" applyFont="1" applyFill="1" applyBorder="1" applyAlignment="1">
      <alignment horizontal="left"/>
    </xf>
    <xf numFmtId="49" fontId="8" fillId="8" borderId="20" xfId="0" applyNumberFormat="1" applyFont="1" applyFill="1" applyBorder="1" applyAlignment="1">
      <alignment horizontal="left"/>
    </xf>
    <xf numFmtId="167" fontId="8" fillId="0" borderId="9" xfId="0" applyNumberFormat="1" applyFont="1" applyBorder="1" applyAlignment="1" applyProtection="1">
      <alignment horizontal="left"/>
      <protection locked="0"/>
    </xf>
    <xf numFmtId="167" fontId="8" fillId="0" borderId="47" xfId="0" applyNumberFormat="1" applyFont="1" applyBorder="1" applyAlignment="1" applyProtection="1">
      <alignment horizontal="left"/>
      <protection locked="0"/>
    </xf>
    <xf numFmtId="170" fontId="8" fillId="0" borderId="47" xfId="0" applyNumberFormat="1" applyFont="1" applyBorder="1" applyAlignment="1" applyProtection="1">
      <alignment horizontal="left"/>
      <protection locked="0"/>
    </xf>
    <xf numFmtId="0" fontId="15" fillId="0" borderId="18" xfId="0" applyFont="1" applyBorder="1" applyAlignment="1">
      <alignment horizontal="center" vertical="center"/>
    </xf>
    <xf numFmtId="49" fontId="8" fillId="8" borderId="21" xfId="0" applyNumberFormat="1" applyFont="1" applyFill="1" applyBorder="1" applyAlignment="1">
      <alignment horizontal="left"/>
    </xf>
    <xf numFmtId="49" fontId="8" fillId="8" borderId="35" xfId="0" applyNumberFormat="1" applyFont="1" applyFill="1" applyBorder="1" applyAlignment="1">
      <alignment horizontal="left"/>
    </xf>
    <xf numFmtId="49" fontId="8" fillId="0" borderId="37" xfId="0" applyNumberFormat="1" applyFont="1" applyFill="1" applyBorder="1" applyAlignment="1">
      <alignment horizontal="left"/>
    </xf>
    <xf numFmtId="49" fontId="8" fillId="0" borderId="38" xfId="0" applyNumberFormat="1" applyFont="1" applyFill="1" applyBorder="1" applyAlignment="1">
      <alignment horizontal="left"/>
    </xf>
    <xf numFmtId="49" fontId="8" fillId="8" borderId="8" xfId="0" applyNumberFormat="1" applyFont="1" applyFill="1" applyBorder="1" applyAlignment="1">
      <alignment horizontal="left"/>
    </xf>
    <xf numFmtId="49" fontId="8" fillId="8" borderId="10" xfId="0" applyNumberFormat="1" applyFont="1" applyFill="1" applyBorder="1" applyAlignment="1">
      <alignment horizontal="left"/>
    </xf>
    <xf numFmtId="49" fontId="8" fillId="8" borderId="20" xfId="0" applyNumberFormat="1" applyFont="1" applyFill="1" applyBorder="1" applyAlignment="1" applyProtection="1">
      <alignment horizontal="left"/>
      <protection locked="0"/>
    </xf>
    <xf numFmtId="49" fontId="8" fillId="8" borderId="54" xfId="0" applyNumberFormat="1" applyFont="1" applyFill="1" applyBorder="1" applyAlignment="1">
      <alignment horizontal="left"/>
    </xf>
    <xf numFmtId="49" fontId="8" fillId="8" borderId="55" xfId="0" applyNumberFormat="1" applyFont="1" applyFill="1" applyBorder="1" applyAlignment="1">
      <alignment horizontal="left"/>
    </xf>
    <xf numFmtId="49" fontId="8" fillId="8" borderId="26" xfId="0" applyNumberFormat="1" applyFont="1" applyFill="1" applyBorder="1" applyAlignment="1">
      <alignment horizontal="left"/>
    </xf>
    <xf numFmtId="49" fontId="8" fillId="8" borderId="27" xfId="0" applyNumberFormat="1" applyFont="1" applyFill="1" applyBorder="1" applyAlignment="1">
      <alignment horizontal="left"/>
    </xf>
    <xf numFmtId="49" fontId="8" fillId="9" borderId="20" xfId="0" applyNumberFormat="1" applyFont="1" applyFill="1" applyBorder="1" applyAlignment="1" applyProtection="1">
      <alignment horizontal="left"/>
      <protection locked="0"/>
    </xf>
    <xf numFmtId="49" fontId="8" fillId="8" borderId="56" xfId="0" applyNumberFormat="1" applyFont="1" applyFill="1" applyBorder="1" applyAlignment="1">
      <alignment horizontal="left"/>
    </xf>
    <xf numFmtId="49" fontId="15" fillId="18" borderId="37" xfId="0" applyNumberFormat="1" applyFont="1" applyFill="1" applyBorder="1" applyAlignment="1">
      <alignment horizontal="left"/>
    </xf>
    <xf numFmtId="49" fontId="15" fillId="18" borderId="47" xfId="0" applyNumberFormat="1" applyFont="1" applyFill="1" applyBorder="1" applyAlignment="1">
      <alignment horizontal="left"/>
    </xf>
    <xf numFmtId="49" fontId="15" fillId="0" borderId="26" xfId="0" applyNumberFormat="1" applyFont="1" applyBorder="1" applyAlignment="1">
      <alignment horizontal="left"/>
    </xf>
    <xf numFmtId="49" fontId="15" fillId="0" borderId="27" xfId="0" applyNumberFormat="1" applyFont="1" applyBorder="1" applyAlignment="1">
      <alignment horizontal="left"/>
    </xf>
    <xf numFmtId="49" fontId="8" fillId="9" borderId="29" xfId="0" applyNumberFormat="1" applyFont="1" applyFill="1" applyBorder="1" applyAlignment="1" applyProtection="1">
      <alignment horizontal="left"/>
      <protection locked="0"/>
    </xf>
    <xf numFmtId="49" fontId="8" fillId="9" borderId="30" xfId="0" applyNumberFormat="1" applyFont="1" applyFill="1" applyBorder="1" applyAlignment="1" applyProtection="1">
      <alignment horizontal="left"/>
      <protection locked="0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3">
    <dxf>
      <fill>
        <patternFill>
          <bgColor theme="9"/>
        </patternFill>
      </fill>
    </dxf>
    <dxf>
      <font>
        <b/>
        <i val="0"/>
      </font>
      <fill>
        <patternFill>
          <bgColor theme="5" tint="-0.24994659260841701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D9D9D9"/>
      <color rgb="FF000000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79</xdr:row>
          <xdr:rowOff>85725</xdr:rowOff>
        </xdr:from>
        <xdr:to>
          <xdr:col>2</xdr:col>
          <xdr:colOff>542925</xdr:colOff>
          <xdr:row>81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79</xdr:row>
          <xdr:rowOff>85725</xdr:rowOff>
        </xdr:from>
        <xdr:to>
          <xdr:col>3</xdr:col>
          <xdr:colOff>866775</xdr:colOff>
          <xdr:row>81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990600</xdr:colOff>
          <xdr:row>79</xdr:row>
          <xdr:rowOff>85725</xdr:rowOff>
        </xdr:from>
        <xdr:to>
          <xdr:col>6</xdr:col>
          <xdr:colOff>342900</xdr:colOff>
          <xdr:row>81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79</xdr:row>
          <xdr:rowOff>85725</xdr:rowOff>
        </xdr:from>
        <xdr:to>
          <xdr:col>8</xdr:col>
          <xdr:colOff>228600</xdr:colOff>
          <xdr:row>81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931514</xdr:colOff>
      <xdr:row>1</xdr:row>
      <xdr:rowOff>105833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9513" cy="56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9317-E90B-49B6-AB40-B9BCC8C6B89D}">
  <sheetPr>
    <pageSetUpPr fitToPage="1"/>
  </sheetPr>
  <dimension ref="A1:L207"/>
  <sheetViews>
    <sheetView topLeftCell="A43" zoomScale="120" zoomScaleNormal="120" zoomScaleSheetLayoutView="100" workbookViewId="0">
      <selection activeCell="C72" sqref="C72:J72"/>
    </sheetView>
  </sheetViews>
  <sheetFormatPr defaultColWidth="0" defaultRowHeight="15" zeroHeight="1" x14ac:dyDescent="0.25"/>
  <cols>
    <col min="1" max="1" width="11.7109375" style="15" customWidth="1"/>
    <col min="2" max="2" width="11.85546875" style="15" customWidth="1"/>
    <col min="3" max="3" width="13.7109375" style="15" customWidth="1"/>
    <col min="4" max="4" width="13" style="15" customWidth="1"/>
    <col min="5" max="5" width="10" style="15" customWidth="1"/>
    <col min="6" max="6" width="13.28515625" style="15" customWidth="1"/>
    <col min="7" max="7" width="14" style="15" customWidth="1"/>
    <col min="8" max="8" width="10" style="15" customWidth="1"/>
    <col min="9" max="9" width="12.28515625" style="15" customWidth="1"/>
    <col min="10" max="10" width="10" style="15" customWidth="1"/>
    <col min="11" max="16384" width="9.28515625" style="15" hidden="1"/>
  </cols>
  <sheetData>
    <row r="1" spans="1:10" s="4" customFormat="1" ht="36" customHeight="1" x14ac:dyDescent="0.25">
      <c r="A1" s="19"/>
      <c r="B1" s="19"/>
      <c r="C1" s="15"/>
      <c r="D1" s="39" t="s">
        <v>86</v>
      </c>
      <c r="E1" s="39"/>
      <c r="F1" s="39"/>
      <c r="G1" s="19"/>
      <c r="H1" s="19"/>
      <c r="I1" s="19"/>
      <c r="J1" s="19"/>
    </row>
    <row r="2" spans="1:10" s="4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s="4" customFormat="1" ht="15" customHeight="1" x14ac:dyDescent="0.25">
      <c r="A3" s="26" t="s">
        <v>75</v>
      </c>
      <c r="B3" s="27"/>
      <c r="C3" s="381" t="e">
        <f>'PROFORMA - TH'!#REF!</f>
        <v>#REF!</v>
      </c>
      <c r="D3" s="382"/>
      <c r="E3" s="382"/>
      <c r="F3" s="382"/>
      <c r="G3" s="383"/>
      <c r="H3" s="15"/>
      <c r="I3" s="21" t="s">
        <v>1</v>
      </c>
      <c r="J3" s="204">
        <v>43869</v>
      </c>
    </row>
    <row r="4" spans="1:10" s="4" customFormat="1" ht="15" customHeight="1" x14ac:dyDescent="0.25">
      <c r="A4" s="26" t="s">
        <v>0</v>
      </c>
      <c r="B4" s="27"/>
      <c r="C4" s="365"/>
      <c r="D4" s="366"/>
      <c r="E4" s="366"/>
      <c r="F4" s="366"/>
      <c r="G4" s="367"/>
      <c r="H4" s="15"/>
      <c r="I4" s="21" t="s">
        <v>3</v>
      </c>
      <c r="J4" s="37"/>
    </row>
    <row r="5" spans="1:10" s="4" customFormat="1" ht="15" customHeight="1" x14ac:dyDescent="0.25">
      <c r="A5" s="26"/>
      <c r="B5" s="25"/>
      <c r="C5" s="19"/>
      <c r="D5" s="19"/>
      <c r="E5" s="19"/>
      <c r="F5" s="19"/>
      <c r="G5" s="19"/>
      <c r="H5" s="19"/>
      <c r="I5" s="21" t="s">
        <v>29</v>
      </c>
      <c r="J5" s="37"/>
    </row>
    <row r="6" spans="1:10" s="4" customFormat="1" ht="15" customHeight="1" x14ac:dyDescent="0.25">
      <c r="A6" s="26" t="s">
        <v>30</v>
      </c>
      <c r="B6" s="27"/>
      <c r="C6" s="365" t="e">
        <f>'PROFORMA - TH'!#REF!</f>
        <v>#REF!</v>
      </c>
      <c r="D6" s="366"/>
      <c r="E6" s="366"/>
      <c r="F6" s="366"/>
      <c r="G6" s="367"/>
      <c r="H6" s="15"/>
      <c r="I6" s="15"/>
      <c r="J6" s="15"/>
    </row>
    <row r="7" spans="1:10" s="4" customFormat="1" ht="15" customHeight="1" x14ac:dyDescent="0.25">
      <c r="A7" s="26" t="s">
        <v>0</v>
      </c>
      <c r="B7" s="27"/>
      <c r="C7" s="365"/>
      <c r="D7" s="366"/>
      <c r="E7" s="366"/>
      <c r="F7" s="366"/>
      <c r="G7" s="367"/>
      <c r="H7" s="15"/>
      <c r="I7" s="21" t="s">
        <v>279</v>
      </c>
      <c r="J7" s="37"/>
    </row>
    <row r="8" spans="1:10" s="4" customFormat="1" ht="15" customHeight="1" x14ac:dyDescent="0.25">
      <c r="A8" s="28"/>
      <c r="B8" s="19"/>
      <c r="C8" s="19"/>
      <c r="D8" s="19"/>
      <c r="E8" s="19"/>
      <c r="F8" s="19"/>
      <c r="G8" s="19"/>
      <c r="H8" s="19"/>
      <c r="I8" s="221" t="s">
        <v>280</v>
      </c>
      <c r="J8" s="222"/>
    </row>
    <row r="9" spans="1:10" s="4" customFormat="1" ht="15" customHeight="1" x14ac:dyDescent="0.25">
      <c r="A9" s="26" t="s">
        <v>31</v>
      </c>
      <c r="B9" s="27"/>
      <c r="C9" s="365"/>
      <c r="D9" s="366"/>
      <c r="E9" s="366"/>
      <c r="F9" s="366"/>
      <c r="G9" s="367"/>
      <c r="H9" s="15"/>
      <c r="I9" s="15"/>
      <c r="J9" s="15"/>
    </row>
    <row r="10" spans="1:10" s="4" customFormat="1" ht="15" customHeight="1" x14ac:dyDescent="0.25">
      <c r="A10" s="26" t="s">
        <v>0</v>
      </c>
      <c r="B10" s="27"/>
      <c r="C10" s="348"/>
      <c r="D10" s="349"/>
      <c r="E10" s="349"/>
      <c r="F10" s="349"/>
      <c r="G10" s="350"/>
      <c r="H10" s="15"/>
      <c r="I10" s="15"/>
      <c r="J10" s="15"/>
    </row>
    <row r="11" spans="1:10" s="4" customFormat="1" ht="15" customHeight="1" x14ac:dyDescent="0.25">
      <c r="A11" s="25"/>
      <c r="B11" s="25"/>
      <c r="C11" s="19"/>
      <c r="D11" s="19"/>
      <c r="E11" s="19"/>
      <c r="F11" s="19"/>
      <c r="G11" s="19"/>
      <c r="H11" s="15"/>
      <c r="I11" s="15"/>
      <c r="J11" s="15"/>
    </row>
    <row r="12" spans="1:10" s="4" customFormat="1" ht="15" customHeight="1" x14ac:dyDescent="0.25">
      <c r="A12" s="1" t="s">
        <v>4</v>
      </c>
      <c r="B12" s="2"/>
      <c r="C12" s="2"/>
      <c r="D12" s="2"/>
      <c r="E12" s="2"/>
      <c r="F12" s="2"/>
      <c r="G12" s="2"/>
      <c r="H12" s="2"/>
      <c r="I12" s="2"/>
      <c r="J12" s="3"/>
    </row>
    <row r="13" spans="1:10" s="4" customFormat="1" ht="15" customHeight="1" x14ac:dyDescent="0.25">
      <c r="A13" s="13" t="s">
        <v>5</v>
      </c>
      <c r="B13" s="13" t="s">
        <v>6</v>
      </c>
      <c r="C13" s="13" t="s">
        <v>7</v>
      </c>
      <c r="D13" s="13" t="s">
        <v>8</v>
      </c>
      <c r="E13" s="13" t="s">
        <v>85</v>
      </c>
      <c r="F13" s="13" t="s">
        <v>84</v>
      </c>
      <c r="G13" s="13" t="s">
        <v>9</v>
      </c>
      <c r="H13" s="13" t="s">
        <v>234</v>
      </c>
      <c r="I13" s="354" t="s">
        <v>239</v>
      </c>
      <c r="J13" s="355"/>
    </row>
    <row r="14" spans="1:10" s="4" customFormat="1" ht="15" customHeight="1" x14ac:dyDescent="0.25">
      <c r="A14" s="185" t="s">
        <v>76</v>
      </c>
      <c r="B14" s="185" t="s">
        <v>228</v>
      </c>
      <c r="C14" s="205">
        <v>1000000</v>
      </c>
      <c r="D14" s="190">
        <f>IFERROR(C14/C36,0)</f>
        <v>0.5</v>
      </c>
      <c r="E14" s="190" t="e">
        <f>C14/H43</f>
        <v>#REF!</v>
      </c>
      <c r="F14" s="177">
        <v>0.11</v>
      </c>
      <c r="G14" s="178" t="s">
        <v>77</v>
      </c>
      <c r="H14" s="177">
        <v>0.03</v>
      </c>
      <c r="I14" s="356">
        <v>0.15</v>
      </c>
      <c r="J14" s="357"/>
    </row>
    <row r="15" spans="1:10" s="4" customFormat="1" ht="15" customHeight="1" x14ac:dyDescent="0.25">
      <c r="A15" s="32" t="s">
        <v>32</v>
      </c>
      <c r="B15" s="31"/>
      <c r="C15" s="33"/>
      <c r="D15" s="31"/>
      <c r="E15" s="31"/>
      <c r="F15" s="31"/>
      <c r="G15" s="180" t="s">
        <v>219</v>
      </c>
      <c r="H15" s="177">
        <v>5.0000000000000001E-3</v>
      </c>
      <c r="I15" s="358" t="e">
        <f>I14*H43</f>
        <v>#REF!</v>
      </c>
      <c r="J15" s="359"/>
    </row>
    <row r="16" spans="1:10" s="4" customFormat="1" ht="15" customHeight="1" x14ac:dyDescent="0.25">
      <c r="A16" s="232" t="s">
        <v>76</v>
      </c>
      <c r="B16" s="185" t="s">
        <v>232</v>
      </c>
      <c r="C16" s="230">
        <v>250000</v>
      </c>
      <c r="D16" s="190">
        <f>IFERROR((C14+C16)/C36,0)</f>
        <v>0.625</v>
      </c>
      <c r="E16" s="190" t="e">
        <f>(C14+C16)/H43</f>
        <v>#REF!</v>
      </c>
      <c r="F16" s="177">
        <v>0.11</v>
      </c>
      <c r="G16" s="178" t="s">
        <v>77</v>
      </c>
      <c r="H16" s="177">
        <v>0</v>
      </c>
      <c r="I16" s="360"/>
      <c r="J16" s="361"/>
    </row>
    <row r="17" spans="1:12" s="4" customFormat="1" ht="15" customHeight="1" x14ac:dyDescent="0.25">
      <c r="A17" s="233" t="s">
        <v>107</v>
      </c>
      <c r="B17" s="15"/>
      <c r="C17" s="231">
        <f>SUM(C14:C16)</f>
        <v>1250000</v>
      </c>
      <c r="D17" s="15"/>
      <c r="E17" s="15"/>
      <c r="F17" s="15"/>
      <c r="G17" s="15"/>
      <c r="H17" s="15"/>
      <c r="I17" s="15"/>
      <c r="J17" s="15"/>
    </row>
    <row r="18" spans="1:12" s="4" customFormat="1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2" s="4" customFormat="1" ht="15" customHeight="1" x14ac:dyDescent="0.25">
      <c r="A19" s="21" t="s">
        <v>271</v>
      </c>
      <c r="B19" s="15"/>
      <c r="C19" s="365"/>
      <c r="D19" s="366"/>
      <c r="E19" s="366"/>
      <c r="F19" s="366"/>
      <c r="G19" s="366"/>
      <c r="H19" s="366"/>
      <c r="I19" s="366"/>
      <c r="J19" s="367"/>
    </row>
    <row r="20" spans="1:12" s="4" customFormat="1" ht="15" customHeight="1" x14ac:dyDescent="0.25">
      <c r="A20" s="21" t="s">
        <v>225</v>
      </c>
      <c r="B20" s="15"/>
      <c r="C20" s="336"/>
      <c r="D20" s="337"/>
      <c r="E20" s="337"/>
      <c r="F20" s="337"/>
      <c r="G20" s="337"/>
      <c r="H20" s="337"/>
      <c r="I20" s="337"/>
      <c r="J20" s="338"/>
    </row>
    <row r="21" spans="1:12" s="4" customFormat="1" ht="15" customHeight="1" x14ac:dyDescent="0.25">
      <c r="A21" s="15"/>
      <c r="B21" s="15"/>
      <c r="C21" s="336"/>
      <c r="D21" s="337"/>
      <c r="E21" s="337"/>
      <c r="F21" s="337"/>
      <c r="G21" s="337"/>
      <c r="H21" s="337"/>
      <c r="I21" s="337"/>
      <c r="J21" s="338"/>
    </row>
    <row r="22" spans="1:12" s="4" customFormat="1" ht="15" customHeight="1" x14ac:dyDescent="0.25">
      <c r="A22" s="15"/>
      <c r="B22" s="228"/>
      <c r="C22" s="378"/>
      <c r="D22" s="379"/>
      <c r="E22" s="379"/>
      <c r="F22" s="379"/>
      <c r="G22" s="379"/>
      <c r="H22" s="379"/>
      <c r="I22" s="379"/>
      <c r="J22" s="379"/>
      <c r="K22" s="379"/>
      <c r="L22" s="380"/>
    </row>
    <row r="23" spans="1:12" s="4" customFormat="1" ht="15" customHeight="1" x14ac:dyDescent="0.25">
      <c r="A23" s="15"/>
      <c r="B23" s="15"/>
      <c r="C23" s="336"/>
      <c r="D23" s="337"/>
      <c r="E23" s="337"/>
      <c r="F23" s="337"/>
      <c r="G23" s="337"/>
      <c r="H23" s="337"/>
      <c r="I23" s="337"/>
      <c r="J23" s="338"/>
    </row>
    <row r="24" spans="1:12" s="4" customFormat="1" ht="1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2" s="4" customFormat="1" ht="15" customHeight="1" x14ac:dyDescent="0.25">
      <c r="A25" s="23" t="s">
        <v>17</v>
      </c>
      <c r="B25" s="24"/>
      <c r="C25" s="176" t="s">
        <v>16</v>
      </c>
      <c r="D25" s="30"/>
      <c r="E25" s="30"/>
      <c r="F25" s="30"/>
      <c r="G25" s="30"/>
      <c r="H25" s="30"/>
      <c r="I25" s="30"/>
      <c r="J25" s="30"/>
    </row>
    <row r="26" spans="1:12" s="4" customFormat="1" ht="15" customHeight="1" x14ac:dyDescent="0.25">
      <c r="A26" s="23" t="s">
        <v>18</v>
      </c>
      <c r="B26" s="24"/>
      <c r="C26" s="371" t="s">
        <v>286</v>
      </c>
      <c r="D26" s="372"/>
      <c r="E26" s="372"/>
      <c r="F26" s="372"/>
      <c r="G26" s="372"/>
      <c r="H26" s="372"/>
      <c r="I26" s="372"/>
      <c r="J26" s="373"/>
    </row>
    <row r="27" spans="1:12" s="4" customFormat="1" ht="15" customHeight="1" x14ac:dyDescent="0.25">
      <c r="A27" s="15"/>
      <c r="B27" s="15"/>
      <c r="C27" s="371"/>
      <c r="D27" s="372"/>
      <c r="E27" s="372"/>
      <c r="F27" s="372"/>
      <c r="G27" s="372"/>
      <c r="H27" s="372"/>
      <c r="I27" s="372"/>
      <c r="J27" s="373"/>
    </row>
    <row r="28" spans="1:12" s="4" customFormat="1" ht="15" customHeight="1" x14ac:dyDescent="0.25">
      <c r="A28" s="15"/>
      <c r="B28" s="15"/>
      <c r="C28" s="336"/>
      <c r="D28" s="337"/>
      <c r="E28" s="337"/>
      <c r="F28" s="337"/>
      <c r="G28" s="337"/>
      <c r="H28" s="337"/>
      <c r="I28" s="337"/>
      <c r="J28" s="338"/>
    </row>
    <row r="29" spans="1:12" s="4" customFormat="1" ht="1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2" s="4" customFormat="1" ht="15" customHeight="1" x14ac:dyDescent="0.25">
      <c r="A30" s="21" t="s">
        <v>19</v>
      </c>
      <c r="B30" s="15"/>
      <c r="C30" s="362" t="s">
        <v>79</v>
      </c>
      <c r="D30" s="363"/>
      <c r="E30" s="363"/>
      <c r="F30" s="363"/>
      <c r="G30" s="363"/>
      <c r="H30" s="363"/>
      <c r="I30" s="363"/>
      <c r="J30" s="364"/>
    </row>
    <row r="31" spans="1:12" s="4" customFormat="1" ht="15" customHeight="1" x14ac:dyDescent="0.25">
      <c r="A31" s="21" t="s">
        <v>20</v>
      </c>
      <c r="B31" s="15"/>
      <c r="C31" s="22" t="s">
        <v>73</v>
      </c>
      <c r="D31" s="348" t="s">
        <v>78</v>
      </c>
      <c r="E31" s="349"/>
      <c r="F31" s="349"/>
      <c r="G31" s="349"/>
      <c r="H31" s="349"/>
      <c r="I31" s="349"/>
      <c r="J31" s="350"/>
    </row>
    <row r="32" spans="1:12" s="4" customFormat="1" ht="15" customHeight="1" x14ac:dyDescent="0.25">
      <c r="A32" s="15"/>
      <c r="B32" s="15"/>
      <c r="C32" s="22" t="s">
        <v>74</v>
      </c>
      <c r="D32" s="365" t="s">
        <v>80</v>
      </c>
      <c r="E32" s="366"/>
      <c r="F32" s="366"/>
      <c r="G32" s="366"/>
      <c r="H32" s="366"/>
      <c r="I32" s="366"/>
      <c r="J32" s="367"/>
    </row>
    <row r="33" spans="1:11" s="4" customFormat="1" ht="1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1" s="4" customFormat="1" ht="1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1" s="4" customFormat="1" ht="15" customHeight="1" x14ac:dyDescent="0.25">
      <c r="A35" s="12" t="s">
        <v>221</v>
      </c>
      <c r="B35" s="15"/>
      <c r="C35" s="9" t="s">
        <v>211</v>
      </c>
      <c r="D35" s="9"/>
      <c r="E35" s="9"/>
      <c r="F35" s="15"/>
      <c r="G35" s="15"/>
      <c r="H35" s="9" t="s">
        <v>233</v>
      </c>
      <c r="I35" s="9"/>
      <c r="J35" s="9"/>
    </row>
    <row r="36" spans="1:11" s="4" customFormat="1" ht="15" customHeight="1" x14ac:dyDescent="0.25">
      <c r="A36" s="15"/>
      <c r="B36" s="29" t="s">
        <v>273</v>
      </c>
      <c r="C36" s="368">
        <v>2000000</v>
      </c>
      <c r="D36" s="369"/>
      <c r="E36" s="370"/>
      <c r="F36" s="15"/>
      <c r="G36" s="29" t="s">
        <v>272</v>
      </c>
      <c r="H36" s="368">
        <v>715000</v>
      </c>
      <c r="I36" s="369"/>
      <c r="J36" s="370"/>
    </row>
    <row r="37" spans="1:11" s="4" customFormat="1" ht="15" customHeight="1" x14ac:dyDescent="0.25">
      <c r="A37" s="15"/>
      <c r="B37" s="29" t="s">
        <v>21</v>
      </c>
      <c r="C37" s="374">
        <v>0</v>
      </c>
      <c r="D37" s="375"/>
      <c r="E37" s="376"/>
      <c r="F37" s="15"/>
      <c r="G37" s="29" t="s">
        <v>276</v>
      </c>
      <c r="H37" s="417" t="e">
        <f>'PROFORMA - TH'!#REF!</f>
        <v>#REF!</v>
      </c>
      <c r="I37" s="418"/>
      <c r="J37" s="419"/>
    </row>
    <row r="38" spans="1:11" s="4" customFormat="1" ht="15" customHeight="1" x14ac:dyDescent="0.25">
      <c r="A38" s="15"/>
      <c r="B38" s="29" t="s">
        <v>274</v>
      </c>
      <c r="C38" s="368">
        <v>2000000</v>
      </c>
      <c r="D38" s="369"/>
      <c r="E38" s="370"/>
      <c r="F38" s="15"/>
      <c r="G38" s="29" t="s">
        <v>277</v>
      </c>
      <c r="H38" s="417" t="e">
        <f>'PROFORMA - TH'!#REF!</f>
        <v>#REF!</v>
      </c>
      <c r="I38" s="418"/>
      <c r="J38" s="419"/>
    </row>
    <row r="39" spans="1:11" s="4" customFormat="1" ht="15" customHeight="1" x14ac:dyDescent="0.25">
      <c r="A39" s="15"/>
      <c r="B39" s="29" t="s">
        <v>21</v>
      </c>
      <c r="C39" s="374">
        <v>0</v>
      </c>
      <c r="D39" s="375"/>
      <c r="E39" s="376"/>
      <c r="F39" s="15"/>
      <c r="G39" s="29" t="s">
        <v>28</v>
      </c>
      <c r="H39" s="368">
        <v>428441</v>
      </c>
      <c r="I39" s="369"/>
      <c r="J39" s="370"/>
    </row>
    <row r="40" spans="1:11" s="4" customFormat="1" ht="15" customHeight="1" x14ac:dyDescent="0.25">
      <c r="A40" s="15"/>
      <c r="B40" s="29" t="s">
        <v>275</v>
      </c>
      <c r="C40" s="345" t="s">
        <v>82</v>
      </c>
      <c r="D40" s="377"/>
      <c r="E40" s="346"/>
      <c r="F40" s="15"/>
      <c r="G40" s="29" t="s">
        <v>236</v>
      </c>
      <c r="H40" s="368">
        <v>20000</v>
      </c>
      <c r="I40" s="369"/>
      <c r="J40" s="370"/>
    </row>
    <row r="41" spans="1:11" s="4" customFormat="1" ht="15" customHeight="1" x14ac:dyDescent="0.25">
      <c r="A41" s="15"/>
      <c r="B41" s="29" t="s">
        <v>23</v>
      </c>
      <c r="C41" s="345" t="s">
        <v>81</v>
      </c>
      <c r="D41" s="377"/>
      <c r="E41" s="346"/>
      <c r="F41" s="15"/>
      <c r="G41" s="29" t="s">
        <v>25</v>
      </c>
      <c r="H41" s="368">
        <v>52000</v>
      </c>
      <c r="I41" s="369"/>
      <c r="J41" s="370"/>
    </row>
    <row r="42" spans="1:11" s="4" customFormat="1" ht="15" customHeight="1" x14ac:dyDescent="0.25">
      <c r="A42" s="15"/>
      <c r="B42" s="29" t="s">
        <v>24</v>
      </c>
      <c r="C42" s="345" t="s">
        <v>83</v>
      </c>
      <c r="D42" s="377"/>
      <c r="E42" s="346"/>
      <c r="F42" s="15"/>
      <c r="G42" s="29" t="s">
        <v>26</v>
      </c>
      <c r="H42" s="406">
        <v>48911</v>
      </c>
      <c r="I42" s="407"/>
      <c r="J42" s="408"/>
    </row>
    <row r="43" spans="1:11" s="4" customFormat="1" ht="15" customHeight="1" x14ac:dyDescent="0.25">
      <c r="A43" s="15"/>
      <c r="B43" s="29" t="s">
        <v>235</v>
      </c>
      <c r="C43" s="351" t="e">
        <f>H43-C14</f>
        <v>#REF!</v>
      </c>
      <c r="D43" s="352"/>
      <c r="E43" s="353"/>
      <c r="F43" s="15"/>
      <c r="G43" s="29" t="s">
        <v>27</v>
      </c>
      <c r="H43" s="420" t="e">
        <f>SUM(H36:J42)</f>
        <v>#REF!</v>
      </c>
      <c r="I43" s="421"/>
      <c r="J43" s="422"/>
    </row>
    <row r="44" spans="1:11" s="4" customFormat="1" ht="15" customHeight="1" x14ac:dyDescent="0.25">
      <c r="A44" s="15"/>
      <c r="B44" s="15"/>
      <c r="C44" s="15"/>
      <c r="D44" s="15"/>
      <c r="E44" s="15"/>
      <c r="F44" s="19"/>
      <c r="G44" s="29" t="s">
        <v>278</v>
      </c>
      <c r="H44" s="423" t="e">
        <f>(H39+H40)/'PROFORMA - TH'!#REF!</f>
        <v>#REF!</v>
      </c>
      <c r="I44" s="424"/>
      <c r="J44" s="424"/>
      <c r="K44" s="425"/>
    </row>
    <row r="45" spans="1:11" s="4" customFormat="1" ht="1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1" s="4" customFormat="1" ht="15" customHeight="1" x14ac:dyDescent="0.25">
      <c r="A46" s="15"/>
      <c r="B46" s="15"/>
      <c r="C46" s="9" t="s">
        <v>215</v>
      </c>
      <c r="D46" s="9"/>
      <c r="E46" s="9"/>
      <c r="F46" s="15"/>
      <c r="G46" s="15"/>
      <c r="H46" s="9" t="s">
        <v>248</v>
      </c>
      <c r="I46" s="9"/>
      <c r="J46" s="9"/>
    </row>
    <row r="47" spans="1:11" s="4" customFormat="1" ht="15" customHeight="1" x14ac:dyDescent="0.25">
      <c r="A47" s="15"/>
      <c r="B47" s="29" t="s">
        <v>216</v>
      </c>
      <c r="C47" s="390" t="s">
        <v>282</v>
      </c>
      <c r="D47" s="391"/>
      <c r="E47" s="392"/>
      <c r="F47" s="15"/>
      <c r="G47" s="29" t="s">
        <v>210</v>
      </c>
      <c r="H47" s="384">
        <v>0</v>
      </c>
      <c r="I47" s="385"/>
      <c r="J47" s="386"/>
    </row>
    <row r="48" spans="1:11" s="4" customFormat="1" ht="15" customHeight="1" x14ac:dyDescent="0.25">
      <c r="A48" s="15"/>
      <c r="B48" s="29" t="s">
        <v>250</v>
      </c>
      <c r="C48" s="390" t="s">
        <v>76</v>
      </c>
      <c r="D48" s="391"/>
      <c r="E48" s="392"/>
      <c r="F48" s="15"/>
      <c r="G48" s="29" t="s">
        <v>22</v>
      </c>
      <c r="H48" s="396" t="s">
        <v>214</v>
      </c>
      <c r="I48" s="397"/>
      <c r="J48" s="398"/>
    </row>
    <row r="49" spans="1:10" s="4" customFormat="1" ht="15" customHeight="1" x14ac:dyDescent="0.25">
      <c r="A49" s="15"/>
      <c r="B49" s="29" t="s">
        <v>217</v>
      </c>
      <c r="C49" s="384">
        <v>50000</v>
      </c>
      <c r="D49" s="385"/>
      <c r="E49" s="386"/>
      <c r="F49" s="15"/>
      <c r="G49" s="29" t="s">
        <v>23</v>
      </c>
      <c r="H49" s="384">
        <v>0</v>
      </c>
      <c r="I49" s="385"/>
      <c r="J49" s="386"/>
    </row>
    <row r="50" spans="1:10" s="4" customFormat="1" ht="15" customHeight="1" x14ac:dyDescent="0.25">
      <c r="A50" s="15"/>
      <c r="B50" s="29" t="s">
        <v>218</v>
      </c>
      <c r="C50" s="384">
        <v>205000</v>
      </c>
      <c r="D50" s="385"/>
      <c r="E50" s="386"/>
      <c r="F50" s="15"/>
      <c r="G50" s="181" t="s">
        <v>212</v>
      </c>
      <c r="H50" s="399">
        <v>0.75</v>
      </c>
      <c r="I50" s="400"/>
      <c r="J50" s="401"/>
    </row>
    <row r="51" spans="1:10" s="4" customFormat="1" ht="15" customHeight="1" x14ac:dyDescent="0.25">
      <c r="A51" s="15"/>
      <c r="B51" s="29" t="s">
        <v>220</v>
      </c>
      <c r="C51" s="384">
        <v>0</v>
      </c>
      <c r="D51" s="385"/>
      <c r="E51" s="386"/>
      <c r="F51" s="15"/>
      <c r="G51" s="29" t="s">
        <v>213</v>
      </c>
      <c r="H51" s="402">
        <f>(H47*H50)-H49</f>
        <v>0</v>
      </c>
      <c r="I51" s="377"/>
      <c r="J51" s="346"/>
    </row>
    <row r="52" spans="1:10" s="4" customFormat="1" ht="15" customHeight="1" x14ac:dyDescent="0.25">
      <c r="A52" s="15"/>
      <c r="B52" s="29" t="s">
        <v>27</v>
      </c>
      <c r="C52" s="387">
        <f>SUM(C49:E51)</f>
        <v>255000</v>
      </c>
      <c r="D52" s="388"/>
      <c r="E52" s="389"/>
      <c r="F52" s="15"/>
      <c r="G52" s="29" t="s">
        <v>249</v>
      </c>
      <c r="H52" s="396"/>
      <c r="I52" s="397"/>
      <c r="J52" s="398"/>
    </row>
    <row r="53" spans="1:10" s="4" customFormat="1" ht="15" customHeight="1" x14ac:dyDescent="0.25">
      <c r="A53" s="15"/>
      <c r="B53" s="29" t="s">
        <v>256</v>
      </c>
      <c r="C53" s="393">
        <v>0.11</v>
      </c>
      <c r="D53" s="394"/>
      <c r="E53" s="395"/>
      <c r="F53" s="15"/>
      <c r="G53" s="29" t="s">
        <v>0</v>
      </c>
      <c r="H53" s="396"/>
      <c r="I53" s="397"/>
      <c r="J53" s="398"/>
    </row>
    <row r="54" spans="1:10" s="4" customFormat="1" ht="15" customHeight="1" x14ac:dyDescent="0.25">
      <c r="A54" s="15"/>
      <c r="B54" s="29" t="s">
        <v>255</v>
      </c>
      <c r="C54" s="403" t="e">
        <f>'PROFORMA - TH'!#REF!</f>
        <v>#REF!</v>
      </c>
      <c r="D54" s="404"/>
      <c r="E54" s="405"/>
      <c r="F54" s="15"/>
      <c r="G54" s="15"/>
      <c r="H54" s="15"/>
      <c r="I54" s="15"/>
      <c r="J54" s="15"/>
    </row>
    <row r="55" spans="1:10" s="4" customFormat="1" ht="15" customHeight="1" x14ac:dyDescent="0.25">
      <c r="A55" s="15"/>
      <c r="B55" s="29" t="s">
        <v>257</v>
      </c>
      <c r="C55" s="374" t="e">
        <f>'PROFORMA - TH'!#REF!</f>
        <v>#REF!</v>
      </c>
      <c r="D55" s="375"/>
      <c r="E55" s="376"/>
      <c r="F55" s="15"/>
      <c r="G55" s="15"/>
      <c r="H55" s="15"/>
      <c r="I55" s="15"/>
      <c r="J55" s="15"/>
    </row>
    <row r="56" spans="1:10" s="4" customFormat="1" ht="1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s="4" customFormat="1" ht="15" customHeight="1" x14ac:dyDescent="0.25">
      <c r="A57" s="415" t="s">
        <v>238</v>
      </c>
      <c r="B57" s="416"/>
      <c r="C57" s="339"/>
      <c r="D57" s="340"/>
      <c r="E57" s="340"/>
      <c r="F57" s="340"/>
      <c r="G57" s="340"/>
      <c r="H57" s="340"/>
      <c r="I57" s="340"/>
      <c r="J57" s="341"/>
    </row>
    <row r="58" spans="1:10" s="4" customFormat="1" ht="15" customHeight="1" x14ac:dyDescent="0.25">
      <c r="A58" s="415" t="s">
        <v>237</v>
      </c>
      <c r="B58" s="416"/>
      <c r="C58" s="342"/>
      <c r="D58" s="343"/>
      <c r="E58" s="343"/>
      <c r="F58" s="343"/>
      <c r="G58" s="343"/>
      <c r="H58" s="343"/>
      <c r="I58" s="343"/>
      <c r="J58" s="344"/>
    </row>
    <row r="59" spans="1:10" s="4" customFormat="1" ht="15" customHeight="1" x14ac:dyDescent="0.25">
      <c r="A59" s="219"/>
      <c r="B59" s="223"/>
      <c r="C59" s="342"/>
      <c r="D59" s="343"/>
      <c r="E59" s="343"/>
      <c r="F59" s="343"/>
      <c r="G59" s="343"/>
      <c r="H59" s="343"/>
      <c r="I59" s="343"/>
      <c r="J59" s="344"/>
    </row>
    <row r="60" spans="1:10" s="4" customFormat="1" ht="15" customHeight="1" x14ac:dyDescent="0.25">
      <c r="A60" s="219"/>
      <c r="B60" s="223"/>
      <c r="C60" s="342"/>
      <c r="D60" s="343"/>
      <c r="E60" s="343"/>
      <c r="F60" s="343"/>
      <c r="G60" s="343"/>
      <c r="H60" s="343"/>
      <c r="I60" s="343"/>
      <c r="J60" s="344"/>
    </row>
    <row r="61" spans="1:10" s="4" customFormat="1" ht="15" customHeight="1" x14ac:dyDescent="0.25">
      <c r="A61" s="21"/>
      <c r="B61" s="15"/>
      <c r="C61" s="207"/>
      <c r="D61" s="207"/>
      <c r="E61" s="207"/>
      <c r="F61" s="207"/>
      <c r="G61" s="207"/>
      <c r="H61" s="207"/>
      <c r="I61" s="207"/>
      <c r="J61" s="207"/>
    </row>
    <row r="62" spans="1:10" s="4" customFormat="1" ht="15" customHeight="1" x14ac:dyDescent="0.25">
      <c r="A62" s="5" t="s">
        <v>72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4" customFormat="1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s="4" customFormat="1" ht="15" customHeight="1" x14ac:dyDescent="0.25">
      <c r="A64" s="40" t="s">
        <v>283</v>
      </c>
      <c r="B64" s="336"/>
      <c r="C64" s="337"/>
      <c r="D64" s="337"/>
      <c r="E64" s="337"/>
      <c r="F64" s="337"/>
      <c r="G64" s="337"/>
      <c r="H64" s="337"/>
      <c r="I64" s="337"/>
      <c r="J64" s="338"/>
    </row>
    <row r="65" spans="1:10" s="4" customFormat="1" ht="15" customHeight="1" x14ac:dyDescent="0.25">
      <c r="A65" s="15"/>
      <c r="B65" s="336"/>
      <c r="C65" s="337"/>
      <c r="D65" s="337"/>
      <c r="E65" s="337"/>
      <c r="F65" s="337"/>
      <c r="G65" s="337"/>
      <c r="H65" s="337"/>
      <c r="I65" s="337"/>
      <c r="J65" s="338"/>
    </row>
    <row r="66" spans="1:10" s="4" customFormat="1" ht="15" customHeight="1" x14ac:dyDescent="0.25">
      <c r="A66" s="40" t="s">
        <v>284</v>
      </c>
      <c r="B66" s="336"/>
      <c r="C66" s="337"/>
      <c r="D66" s="337"/>
      <c r="E66" s="337"/>
      <c r="F66" s="337"/>
      <c r="G66" s="337"/>
      <c r="H66" s="337"/>
      <c r="I66" s="337"/>
      <c r="J66" s="338"/>
    </row>
    <row r="67" spans="1:10" s="4" customFormat="1" ht="15" customHeight="1" x14ac:dyDescent="0.25">
      <c r="A67" s="15"/>
      <c r="B67" s="336"/>
      <c r="C67" s="337"/>
      <c r="D67" s="337"/>
      <c r="E67" s="337"/>
      <c r="F67" s="337"/>
      <c r="G67" s="337"/>
      <c r="H67" s="337"/>
      <c r="I67" s="337"/>
      <c r="J67" s="338"/>
    </row>
    <row r="68" spans="1:10" s="4" customFormat="1" ht="15" customHeight="1" x14ac:dyDescent="0.25">
      <c r="A68" s="15"/>
      <c r="B68" s="336"/>
      <c r="C68" s="337"/>
      <c r="D68" s="337"/>
      <c r="E68" s="337"/>
      <c r="F68" s="337"/>
      <c r="G68" s="337"/>
      <c r="H68" s="337"/>
      <c r="I68" s="337"/>
      <c r="J68" s="338"/>
    </row>
    <row r="69" spans="1:10" s="4" customFormat="1" ht="1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s="4" customFormat="1" ht="15" customHeight="1" x14ac:dyDescent="0.25">
      <c r="A70" s="229" t="s">
        <v>38</v>
      </c>
      <c r="C70" s="409"/>
      <c r="D70" s="410"/>
      <c r="E70" s="410"/>
      <c r="F70" s="410"/>
      <c r="G70" s="410"/>
      <c r="H70" s="410"/>
      <c r="I70" s="410"/>
      <c r="J70" s="411"/>
    </row>
    <row r="71" spans="1:10" s="4" customFormat="1" ht="15" customHeight="1" x14ac:dyDescent="0.25">
      <c r="A71" s="15"/>
      <c r="B71" s="15"/>
      <c r="C71" s="409"/>
      <c r="D71" s="410"/>
      <c r="E71" s="410"/>
      <c r="F71" s="410"/>
      <c r="G71" s="410"/>
      <c r="H71" s="410"/>
      <c r="I71" s="410"/>
      <c r="J71" s="411"/>
    </row>
    <row r="72" spans="1:10" s="4" customFormat="1" ht="15" customHeight="1" x14ac:dyDescent="0.25">
      <c r="A72" s="15"/>
      <c r="B72" s="15"/>
      <c r="C72" s="409"/>
      <c r="D72" s="410"/>
      <c r="E72" s="410"/>
      <c r="F72" s="410"/>
      <c r="G72" s="410"/>
      <c r="H72" s="410"/>
      <c r="I72" s="410"/>
      <c r="J72" s="411"/>
    </row>
    <row r="73" spans="1:10" s="4" customFormat="1" ht="15" customHeight="1" x14ac:dyDescent="0.25">
      <c r="A73" s="15"/>
      <c r="B73" s="15"/>
      <c r="C73" s="409"/>
      <c r="D73" s="410"/>
      <c r="E73" s="410"/>
      <c r="F73" s="410"/>
      <c r="G73" s="410"/>
      <c r="H73" s="410"/>
      <c r="I73" s="410"/>
      <c r="J73" s="411"/>
    </row>
    <row r="74" spans="1:10" s="4" customFormat="1" ht="15" customHeight="1" x14ac:dyDescent="0.25">
      <c r="A74" s="15"/>
      <c r="B74" s="15"/>
      <c r="C74" s="412"/>
      <c r="D74" s="413"/>
      <c r="E74" s="413"/>
      <c r="F74" s="413"/>
      <c r="G74" s="413"/>
      <c r="H74" s="413"/>
      <c r="I74" s="413"/>
      <c r="J74" s="414"/>
    </row>
    <row r="75" spans="1:10" s="4" customFormat="1" ht="1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s="4" customFormat="1" ht="15" customHeight="1" x14ac:dyDescent="0.25">
      <c r="A76" s="21" t="s">
        <v>39</v>
      </c>
      <c r="B76" s="22" t="s">
        <v>65</v>
      </c>
      <c r="C76" s="38">
        <v>688</v>
      </c>
      <c r="D76" s="11" t="s">
        <v>66</v>
      </c>
      <c r="E76" s="182" t="s">
        <v>16</v>
      </c>
      <c r="F76" s="11" t="s">
        <v>67</v>
      </c>
      <c r="G76" s="182" t="s">
        <v>16</v>
      </c>
      <c r="H76" s="11" t="s">
        <v>68</v>
      </c>
      <c r="I76" s="182" t="s">
        <v>16</v>
      </c>
      <c r="J76" s="15"/>
    </row>
    <row r="77" spans="1:10" s="4" customFormat="1" ht="1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s="4" customFormat="1" ht="15" customHeight="1" x14ac:dyDescent="0.25">
      <c r="A78" s="12" t="s">
        <v>51</v>
      </c>
      <c r="B78" s="15"/>
      <c r="C78" s="339"/>
      <c r="D78" s="340"/>
      <c r="E78" s="340"/>
      <c r="F78" s="340"/>
      <c r="G78" s="340"/>
      <c r="H78" s="340"/>
      <c r="I78" s="340"/>
      <c r="J78" s="341"/>
    </row>
    <row r="79" spans="1:10" s="4" customFormat="1" ht="15" customHeight="1" x14ac:dyDescent="0.25">
      <c r="A79" s="15"/>
      <c r="B79" s="15"/>
      <c r="C79" s="342"/>
      <c r="D79" s="343"/>
      <c r="E79" s="343"/>
      <c r="F79" s="343"/>
      <c r="G79" s="343"/>
      <c r="H79" s="343"/>
      <c r="I79" s="343"/>
      <c r="J79" s="344"/>
    </row>
    <row r="80" spans="1:10" s="4" customFormat="1" ht="15" customHeight="1" x14ac:dyDescent="0.25">
      <c r="A80" s="15"/>
      <c r="B80" s="15"/>
      <c r="C80" s="224"/>
      <c r="D80" s="224"/>
      <c r="E80" s="224"/>
      <c r="F80" s="224"/>
      <c r="G80" s="224"/>
      <c r="H80" s="224"/>
      <c r="I80" s="224"/>
      <c r="J80" s="224"/>
    </row>
    <row r="81" spans="1:10" s="4" customFormat="1" ht="15" customHeight="1" x14ac:dyDescent="0.25">
      <c r="A81" s="21" t="s">
        <v>35</v>
      </c>
      <c r="B81" s="20"/>
      <c r="C81" s="34" t="s">
        <v>36</v>
      </c>
      <c r="D81" s="34" t="s">
        <v>63</v>
      </c>
      <c r="E81" s="35"/>
      <c r="F81" s="34" t="s">
        <v>64</v>
      </c>
      <c r="G81" s="36"/>
      <c r="H81" s="34" t="s">
        <v>37</v>
      </c>
      <c r="I81" s="36"/>
      <c r="J81" s="36"/>
    </row>
    <row r="82" spans="1:10" s="4" customFormat="1" ht="15" customHeight="1" x14ac:dyDescent="0.25">
      <c r="A82" s="15"/>
      <c r="B82" s="15"/>
      <c r="C82" s="224"/>
      <c r="D82" s="224"/>
      <c r="E82" s="224"/>
      <c r="F82" s="224"/>
      <c r="G82" s="224"/>
      <c r="H82" s="224"/>
      <c r="I82" s="224"/>
      <c r="J82" s="224"/>
    </row>
    <row r="83" spans="1:10" s="4" customFormat="1" ht="15" customHeight="1" x14ac:dyDescent="0.25">
      <c r="A83" s="12" t="s">
        <v>52</v>
      </c>
      <c r="C83" s="19"/>
      <c r="D83" s="19"/>
      <c r="F83" s="19"/>
      <c r="G83" s="19"/>
      <c r="I83" s="19"/>
      <c r="J83" s="15"/>
    </row>
    <row r="84" spans="1:10" s="4" customFormat="1" ht="15" customHeight="1" x14ac:dyDescent="0.25">
      <c r="A84" s="19"/>
      <c r="B84" s="15"/>
      <c r="C84" s="188" t="s">
        <v>72</v>
      </c>
      <c r="D84" s="19"/>
      <c r="E84" s="15"/>
      <c r="F84" s="188" t="s">
        <v>53</v>
      </c>
      <c r="G84" s="28"/>
      <c r="H84" s="15"/>
      <c r="I84" s="188"/>
      <c r="J84" s="28"/>
    </row>
    <row r="85" spans="1:10" s="4" customFormat="1" ht="15" customHeight="1" x14ac:dyDescent="0.25">
      <c r="A85" s="19"/>
      <c r="B85" s="22" t="s">
        <v>10</v>
      </c>
      <c r="C85" s="198">
        <v>100000</v>
      </c>
      <c r="D85" s="19"/>
      <c r="E85" s="22" t="s">
        <v>10</v>
      </c>
      <c r="F85" s="198"/>
      <c r="G85" s="183"/>
      <c r="H85" s="186" t="s">
        <v>10</v>
      </c>
      <c r="I85" s="198"/>
      <c r="J85" s="184"/>
    </row>
    <row r="86" spans="1:10" s="4" customFormat="1" ht="15" customHeight="1" x14ac:dyDescent="0.25">
      <c r="A86" s="19"/>
      <c r="B86" s="22" t="s">
        <v>285</v>
      </c>
      <c r="C86" s="188">
        <v>1000000</v>
      </c>
      <c r="D86" s="19"/>
      <c r="E86" s="22" t="s">
        <v>285</v>
      </c>
      <c r="F86" s="188"/>
      <c r="G86" s="183"/>
      <c r="H86" s="22" t="s">
        <v>285</v>
      </c>
      <c r="I86" s="188"/>
      <c r="J86" s="184"/>
    </row>
    <row r="87" spans="1:10" s="4" customFormat="1" ht="15" customHeight="1" x14ac:dyDescent="0.25">
      <c r="A87" s="19"/>
      <c r="B87" s="22" t="s">
        <v>40</v>
      </c>
      <c r="C87" s="188">
        <f>SUM(C85:C86)</f>
        <v>1100000</v>
      </c>
      <c r="D87" s="19"/>
      <c r="E87" s="22" t="s">
        <v>40</v>
      </c>
      <c r="F87" s="188">
        <f>SUM(F85:F86)</f>
        <v>0</v>
      </c>
      <c r="G87" s="183"/>
      <c r="H87" s="186" t="s">
        <v>40</v>
      </c>
      <c r="I87" s="188">
        <f>SUM(I85:I86)</f>
        <v>0</v>
      </c>
      <c r="J87" s="184"/>
    </row>
    <row r="88" spans="1:10" s="4" customFormat="1" ht="15" customHeight="1" x14ac:dyDescent="0.25">
      <c r="A88" s="19"/>
      <c r="B88" s="22" t="s">
        <v>54</v>
      </c>
      <c r="C88" s="188">
        <v>200000</v>
      </c>
      <c r="D88" s="19"/>
      <c r="E88" s="22" t="s">
        <v>54</v>
      </c>
      <c r="F88" s="188"/>
      <c r="G88" s="183"/>
      <c r="H88" s="186" t="s">
        <v>54</v>
      </c>
      <c r="I88" s="188"/>
      <c r="J88" s="184"/>
    </row>
    <row r="89" spans="1:10" s="4" customFormat="1" ht="15" customHeight="1" x14ac:dyDescent="0.25">
      <c r="A89" s="19"/>
      <c r="B89" s="22" t="s">
        <v>41</v>
      </c>
      <c r="C89" s="191">
        <f>C87-C88</f>
        <v>900000</v>
      </c>
      <c r="D89" s="19"/>
      <c r="E89" s="22" t="s">
        <v>41</v>
      </c>
      <c r="F89" s="191">
        <f>F87-F88</f>
        <v>0</v>
      </c>
      <c r="G89" s="183"/>
      <c r="H89" s="186" t="s">
        <v>41</v>
      </c>
      <c r="I89" s="191">
        <f>I87-I88</f>
        <v>0</v>
      </c>
      <c r="J89" s="184"/>
    </row>
    <row r="90" spans="1:10" s="4" customFormat="1" ht="15" customHeight="1" x14ac:dyDescent="0.25">
      <c r="A90" s="19"/>
      <c r="B90" s="22" t="s">
        <v>42</v>
      </c>
      <c r="C90" s="188"/>
      <c r="D90" s="19"/>
      <c r="E90" s="22" t="s">
        <v>42</v>
      </c>
      <c r="F90" s="188"/>
      <c r="G90" s="183"/>
      <c r="H90" s="186" t="s">
        <v>42</v>
      </c>
      <c r="I90" s="188"/>
      <c r="J90" s="184"/>
    </row>
    <row r="91" spans="1:10" s="4" customFormat="1" ht="15" customHeight="1" x14ac:dyDescent="0.25">
      <c r="A91" s="19"/>
      <c r="B91" s="225"/>
      <c r="C91" s="188"/>
      <c r="D91" s="19"/>
      <c r="E91" s="225"/>
      <c r="F91" s="188"/>
      <c r="G91" s="183"/>
      <c r="H91" s="225"/>
      <c r="I91" s="188"/>
      <c r="J91" s="184"/>
    </row>
    <row r="92" spans="1:10" s="4" customFormat="1" ht="15" customHeight="1" x14ac:dyDescent="0.25">
      <c r="A92" s="19"/>
      <c r="B92" s="225"/>
      <c r="C92" s="188"/>
      <c r="D92" s="19"/>
      <c r="E92" s="225"/>
      <c r="F92" s="188"/>
      <c r="G92" s="183"/>
      <c r="H92" s="225"/>
      <c r="I92" s="188"/>
      <c r="J92" s="184"/>
    </row>
    <row r="93" spans="1:10" s="4" customFormat="1" ht="15" customHeight="1" x14ac:dyDescent="0.25">
      <c r="A93" s="15"/>
      <c r="B93" s="15"/>
      <c r="C93" s="186"/>
      <c r="D93" s="183"/>
      <c r="E93" s="183"/>
      <c r="F93" s="15"/>
      <c r="G93" s="22"/>
      <c r="H93" s="184"/>
      <c r="I93" s="184"/>
      <c r="J93" s="15"/>
    </row>
    <row r="94" spans="1:10" s="4" customFormat="1" ht="15" customHeight="1" x14ac:dyDescent="0.25">
      <c r="A94" s="229" t="s">
        <v>52</v>
      </c>
      <c r="C94" s="409"/>
      <c r="D94" s="410"/>
      <c r="E94" s="410"/>
      <c r="F94" s="410"/>
      <c r="G94" s="410"/>
      <c r="H94" s="410"/>
      <c r="I94" s="410"/>
      <c r="J94" s="411"/>
    </row>
    <row r="95" spans="1:10" s="4" customFormat="1" ht="15" customHeight="1" x14ac:dyDescent="0.25">
      <c r="A95" s="15"/>
      <c r="B95" s="15"/>
      <c r="C95" s="409"/>
      <c r="D95" s="410"/>
      <c r="E95" s="410"/>
      <c r="F95" s="410"/>
      <c r="G95" s="410"/>
      <c r="H95" s="410"/>
      <c r="I95" s="410"/>
      <c r="J95" s="411"/>
    </row>
    <row r="96" spans="1:10" s="4" customFormat="1" ht="15" customHeight="1" x14ac:dyDescent="0.25">
      <c r="A96" s="15"/>
      <c r="B96" s="15"/>
      <c r="C96" s="409"/>
      <c r="D96" s="410"/>
      <c r="E96" s="410"/>
      <c r="F96" s="410"/>
      <c r="G96" s="410"/>
      <c r="H96" s="410"/>
      <c r="I96" s="410"/>
      <c r="J96" s="411"/>
    </row>
    <row r="97" spans="1:10" s="4" customFormat="1" ht="15" customHeight="1" x14ac:dyDescent="0.25">
      <c r="A97" s="15"/>
      <c r="B97" s="15"/>
      <c r="C97" s="409"/>
      <c r="D97" s="410"/>
      <c r="E97" s="410"/>
      <c r="F97" s="410"/>
      <c r="G97" s="410"/>
      <c r="H97" s="410"/>
      <c r="I97" s="410"/>
      <c r="J97" s="411"/>
    </row>
    <row r="98" spans="1:10" s="4" customFormat="1" ht="15" customHeight="1" x14ac:dyDescent="0.25">
      <c r="A98" s="15"/>
      <c r="B98" s="15"/>
      <c r="C98" s="412"/>
      <c r="D98" s="413"/>
      <c r="E98" s="413"/>
      <c r="F98" s="413"/>
      <c r="G98" s="413"/>
      <c r="H98" s="413"/>
      <c r="I98" s="413"/>
      <c r="J98" s="414"/>
    </row>
    <row r="99" spans="1:10" s="4" customFormat="1" ht="1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s="4" customFormat="1" ht="15" customHeight="1" x14ac:dyDescent="0.25">
      <c r="A100" s="5" t="s">
        <v>43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4" customFormat="1" ht="15" customHeight="1" x14ac:dyDescent="0.25">
      <c r="A101" s="7" t="s">
        <v>72</v>
      </c>
      <c r="B101" s="7" t="s">
        <v>44</v>
      </c>
      <c r="C101" s="7" t="s">
        <v>9</v>
      </c>
      <c r="D101" s="7" t="s">
        <v>6</v>
      </c>
      <c r="E101" s="7" t="s">
        <v>55</v>
      </c>
      <c r="F101" s="7" t="s">
        <v>240</v>
      </c>
      <c r="G101" s="7" t="s">
        <v>45</v>
      </c>
      <c r="H101" s="7" t="s">
        <v>246</v>
      </c>
      <c r="I101" s="7" t="s">
        <v>247</v>
      </c>
      <c r="J101" s="7" t="s">
        <v>8</v>
      </c>
    </row>
    <row r="102" spans="1:10" s="4" customFormat="1" ht="15" customHeight="1" x14ac:dyDescent="0.25">
      <c r="A102" s="176" t="s">
        <v>241</v>
      </c>
      <c r="B102" s="206">
        <v>43809</v>
      </c>
      <c r="C102" s="206">
        <v>44175</v>
      </c>
      <c r="D102" s="176" t="s">
        <v>226</v>
      </c>
      <c r="E102" s="185" t="s">
        <v>242</v>
      </c>
      <c r="F102" s="179">
        <v>0.25</v>
      </c>
      <c r="G102" s="189">
        <v>1000000</v>
      </c>
      <c r="H102" s="189">
        <v>800000</v>
      </c>
      <c r="I102" s="189">
        <v>0</v>
      </c>
      <c r="J102" s="209">
        <f>IFERROR((H102+I102)/G102,0)</f>
        <v>0.8</v>
      </c>
    </row>
    <row r="103" spans="1:10" s="4" customFormat="1" ht="15" customHeight="1" x14ac:dyDescent="0.25">
      <c r="A103" s="176"/>
      <c r="B103" s="187"/>
      <c r="C103" s="187"/>
      <c r="D103" s="176"/>
      <c r="E103" s="176"/>
      <c r="F103" s="179"/>
      <c r="G103" s="189"/>
      <c r="H103" s="189"/>
      <c r="I103" s="189"/>
      <c r="J103" s="209">
        <f>IFERROR((H103+I103)/G103,0)</f>
        <v>0</v>
      </c>
    </row>
    <row r="104" spans="1:10" s="4" customFormat="1" ht="15" customHeight="1" x14ac:dyDescent="0.25">
      <c r="A104" s="176"/>
      <c r="B104" s="187"/>
      <c r="C104" s="187"/>
      <c r="D104" s="176"/>
      <c r="E104" s="176"/>
      <c r="F104" s="179"/>
      <c r="G104" s="189"/>
      <c r="H104" s="189"/>
      <c r="I104" s="189"/>
      <c r="J104" s="209">
        <f t="shared" ref="J104:J107" si="0">IFERROR((H104+I104)/G104,0)</f>
        <v>0</v>
      </c>
    </row>
    <row r="105" spans="1:10" s="4" customFormat="1" ht="15" customHeight="1" x14ac:dyDescent="0.25">
      <c r="A105" s="176"/>
      <c r="B105" s="187"/>
      <c r="C105" s="187"/>
      <c r="D105" s="176"/>
      <c r="E105" s="176"/>
      <c r="F105" s="179"/>
      <c r="G105" s="189"/>
      <c r="H105" s="189"/>
      <c r="I105" s="189"/>
      <c r="J105" s="209"/>
    </row>
    <row r="106" spans="1:10" s="4" customFormat="1" ht="15" customHeight="1" x14ac:dyDescent="0.25">
      <c r="A106" s="176"/>
      <c r="B106" s="187"/>
      <c r="C106" s="187"/>
      <c r="D106" s="176"/>
      <c r="E106" s="176"/>
      <c r="F106" s="179"/>
      <c r="G106" s="189"/>
      <c r="H106" s="189"/>
      <c r="I106" s="189"/>
      <c r="J106" s="209">
        <f t="shared" si="0"/>
        <v>0</v>
      </c>
    </row>
    <row r="107" spans="1:10" s="4" customFormat="1" ht="15" customHeight="1" x14ac:dyDescent="0.25">
      <c r="A107" s="176"/>
      <c r="B107" s="187"/>
      <c r="C107" s="187"/>
      <c r="D107" s="176"/>
      <c r="E107" s="176"/>
      <c r="F107" s="179"/>
      <c r="G107" s="189"/>
      <c r="H107" s="189"/>
      <c r="I107" s="189"/>
      <c r="J107" s="209">
        <f t="shared" si="0"/>
        <v>0</v>
      </c>
    </row>
    <row r="108" spans="1:10" s="4" customFormat="1" ht="15" customHeight="1" x14ac:dyDescent="0.25">
      <c r="A108" s="19"/>
      <c r="B108" s="19"/>
      <c r="C108" s="19"/>
      <c r="D108" s="19"/>
      <c r="E108" s="19"/>
      <c r="F108" s="14" t="s">
        <v>70</v>
      </c>
      <c r="G108" s="196">
        <f>SUM(G102:G107)</f>
        <v>1000000</v>
      </c>
      <c r="H108" s="14" t="s">
        <v>70</v>
      </c>
      <c r="I108" s="197">
        <f>SUM(I102:I107)</f>
        <v>0</v>
      </c>
      <c r="J108" s="19"/>
    </row>
    <row r="109" spans="1:10" s="4" customFormat="1" ht="1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s="4" customFormat="1" ht="15" customHeight="1" x14ac:dyDescent="0.25">
      <c r="A110" s="5" t="s">
        <v>69</v>
      </c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4" customFormat="1" ht="15" customHeight="1" x14ac:dyDescent="0.25">
      <c r="A111" s="7" t="s">
        <v>34</v>
      </c>
      <c r="B111" s="7" t="s">
        <v>44</v>
      </c>
      <c r="C111" s="7" t="s">
        <v>9</v>
      </c>
      <c r="D111" s="7" t="s">
        <v>6</v>
      </c>
      <c r="E111" s="7" t="s">
        <v>55</v>
      </c>
      <c r="F111" s="7" t="str">
        <f>F101</f>
        <v>% Complete</v>
      </c>
      <c r="G111" s="7" t="s">
        <v>45</v>
      </c>
      <c r="H111" s="7" t="s">
        <v>246</v>
      </c>
      <c r="I111" s="7" t="s">
        <v>247</v>
      </c>
      <c r="J111" s="208" t="s">
        <v>8</v>
      </c>
    </row>
    <row r="112" spans="1:10" s="4" customFormat="1" ht="15" customHeight="1" x14ac:dyDescent="0.25">
      <c r="A112" s="176" t="s">
        <v>241</v>
      </c>
      <c r="B112" s="206">
        <v>43779</v>
      </c>
      <c r="C112" s="206">
        <v>44145</v>
      </c>
      <c r="D112" s="176" t="s">
        <v>229</v>
      </c>
      <c r="E112" s="176" t="s">
        <v>243</v>
      </c>
      <c r="F112" s="179">
        <v>0.5</v>
      </c>
      <c r="G112" s="189"/>
      <c r="H112" s="189"/>
      <c r="I112" s="189"/>
      <c r="J112" s="209">
        <f>IFERROR((H112+I112)/G112,0)</f>
        <v>0</v>
      </c>
    </row>
    <row r="113" spans="1:10" s="4" customFormat="1" ht="15" customHeight="1" x14ac:dyDescent="0.25">
      <c r="A113" s="176"/>
      <c r="B113" s="206"/>
      <c r="C113" s="206"/>
      <c r="D113" s="176"/>
      <c r="E113" s="176"/>
      <c r="F113" s="179"/>
      <c r="G113" s="189"/>
      <c r="H113" s="189"/>
      <c r="I113" s="189"/>
      <c r="J113" s="209">
        <f>IFERROR((H113+I113)/G113,0)</f>
        <v>0</v>
      </c>
    </row>
    <row r="114" spans="1:10" s="4" customFormat="1" ht="15" customHeight="1" x14ac:dyDescent="0.25">
      <c r="A114" s="176"/>
      <c r="B114" s="206"/>
      <c r="C114" s="206"/>
      <c r="D114" s="176"/>
      <c r="E114" s="176"/>
      <c r="F114" s="179"/>
      <c r="G114" s="189"/>
      <c r="H114" s="189"/>
      <c r="I114" s="189"/>
      <c r="J114" s="209">
        <f>IFERROR((H114+I114)/G114,0)</f>
        <v>0</v>
      </c>
    </row>
    <row r="115" spans="1:10" s="4" customFormat="1" ht="15" customHeight="1" x14ac:dyDescent="0.25">
      <c r="A115" s="15"/>
      <c r="B115" s="18"/>
      <c r="C115" s="18"/>
      <c r="D115" s="15"/>
      <c r="E115" s="15"/>
      <c r="F115" s="14" t="s">
        <v>70</v>
      </c>
      <c r="G115" s="194">
        <f>SUM(G112:G114)</f>
        <v>0</v>
      </c>
      <c r="H115" s="14" t="s">
        <v>70</v>
      </c>
      <c r="I115" s="195">
        <f>SUM(I112:I114)</f>
        <v>0</v>
      </c>
      <c r="J115" s="15"/>
    </row>
    <row r="116" spans="1:10" s="4" customFormat="1" ht="15" customHeight="1" x14ac:dyDescent="0.25">
      <c r="A116" s="15"/>
      <c r="B116" s="15"/>
      <c r="C116" s="15"/>
      <c r="D116" s="15"/>
      <c r="E116" s="15"/>
      <c r="F116" s="17"/>
      <c r="G116" s="15"/>
      <c r="H116" s="17"/>
      <c r="I116" s="15"/>
      <c r="J116" s="15"/>
    </row>
    <row r="117" spans="1:10" s="4" customFormat="1" ht="15" customHeight="1" x14ac:dyDescent="0.25">
      <c r="A117" s="15"/>
      <c r="B117" s="40" t="s">
        <v>46</v>
      </c>
      <c r="C117" s="192">
        <f>I108</f>
        <v>0</v>
      </c>
      <c r="D117" s="15"/>
      <c r="E117" s="40" t="s">
        <v>47</v>
      </c>
      <c r="F117" s="193">
        <f>I115+I108</f>
        <v>0</v>
      </c>
      <c r="G117" s="15"/>
      <c r="H117" s="15"/>
      <c r="I117" s="15"/>
      <c r="J117" s="15"/>
    </row>
    <row r="118" spans="1:10" s="4" customFormat="1" ht="15" customHeight="1" x14ac:dyDescent="0.25">
      <c r="A118" s="15"/>
      <c r="B118" s="40"/>
      <c r="C118" s="41"/>
      <c r="D118" s="15"/>
      <c r="E118" s="40"/>
      <c r="F118" s="42"/>
      <c r="G118" s="15"/>
      <c r="H118" s="15"/>
      <c r="I118" s="15"/>
      <c r="J118" s="15"/>
    </row>
    <row r="119" spans="1:10" s="4" customFormat="1" ht="15" customHeight="1" x14ac:dyDescent="0.25">
      <c r="A119" s="8" t="s">
        <v>48</v>
      </c>
      <c r="B119" s="8"/>
      <c r="C119" s="8"/>
      <c r="D119" s="8"/>
      <c r="E119" s="8"/>
      <c r="F119" s="8"/>
      <c r="G119" s="8"/>
      <c r="H119" s="8"/>
      <c r="I119" s="8"/>
      <c r="J119" s="8"/>
    </row>
    <row r="120" spans="1:10" s="4" customFormat="1" ht="1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s="4" customFormat="1" ht="15" customHeight="1" x14ac:dyDescent="0.25">
      <c r="A121" s="4" t="s">
        <v>56</v>
      </c>
      <c r="B121" s="15"/>
      <c r="C121" s="336"/>
      <c r="D121" s="337"/>
      <c r="E121" s="337"/>
      <c r="F121" s="337"/>
      <c r="G121" s="337"/>
      <c r="H121" s="337"/>
      <c r="I121" s="337"/>
      <c r="J121" s="338"/>
    </row>
    <row r="122" spans="1:10" s="4" customFormat="1" ht="15" customHeight="1" x14ac:dyDescent="0.25">
      <c r="A122" s="15"/>
      <c r="B122" s="15"/>
      <c r="C122" s="336"/>
      <c r="D122" s="337"/>
      <c r="E122" s="337"/>
      <c r="F122" s="337"/>
      <c r="G122" s="337"/>
      <c r="H122" s="337"/>
      <c r="I122" s="337"/>
      <c r="J122" s="338"/>
    </row>
    <row r="123" spans="1:10" s="4" customFormat="1" ht="15" customHeight="1" x14ac:dyDescent="0.25">
      <c r="A123" s="15"/>
      <c r="B123" s="15"/>
      <c r="C123" s="336"/>
      <c r="D123" s="337"/>
      <c r="E123" s="337"/>
      <c r="F123" s="337"/>
      <c r="G123" s="337"/>
      <c r="H123" s="337"/>
      <c r="I123" s="337"/>
      <c r="J123" s="338"/>
    </row>
    <row r="124" spans="1:10" s="4" customFormat="1" ht="15" customHeight="1" x14ac:dyDescent="0.25">
      <c r="A124" s="15"/>
      <c r="B124" s="15"/>
      <c r="C124" s="336"/>
      <c r="D124" s="337"/>
      <c r="E124" s="337"/>
      <c r="F124" s="337"/>
      <c r="G124" s="337"/>
      <c r="H124" s="337"/>
      <c r="I124" s="337"/>
      <c r="J124" s="338"/>
    </row>
    <row r="125" spans="1:10" s="4" customFormat="1" ht="15" customHeight="1" x14ac:dyDescent="0.25">
      <c r="A125" s="15"/>
      <c r="B125" s="15"/>
      <c r="C125" s="336"/>
      <c r="D125" s="337"/>
      <c r="E125" s="337"/>
      <c r="F125" s="337"/>
      <c r="G125" s="337"/>
      <c r="H125" s="337"/>
      <c r="I125" s="337"/>
      <c r="J125" s="338"/>
    </row>
    <row r="126" spans="1:10" s="4" customFormat="1" ht="1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s="4" customFormat="1" ht="15" customHeight="1" x14ac:dyDescent="0.25">
      <c r="A127" s="15" t="s">
        <v>49</v>
      </c>
      <c r="B127" s="15"/>
      <c r="C127" s="339"/>
      <c r="D127" s="340"/>
      <c r="E127" s="340"/>
      <c r="F127" s="340"/>
      <c r="G127" s="340"/>
      <c r="H127" s="340"/>
      <c r="I127" s="340"/>
      <c r="J127" s="341"/>
    </row>
    <row r="128" spans="1:10" s="4" customFormat="1" ht="15" customHeight="1" x14ac:dyDescent="0.25">
      <c r="A128" s="15"/>
      <c r="B128" s="15"/>
      <c r="C128" s="336"/>
      <c r="D128" s="337"/>
      <c r="E128" s="337"/>
      <c r="F128" s="337"/>
      <c r="G128" s="337"/>
      <c r="H128" s="337"/>
      <c r="I128" s="337"/>
      <c r="J128" s="338"/>
    </row>
    <row r="129" spans="1:10" s="4" customFormat="1" ht="15" customHeight="1" x14ac:dyDescent="0.25">
      <c r="A129" s="15"/>
      <c r="B129" s="15"/>
      <c r="C129" s="336"/>
      <c r="D129" s="337"/>
      <c r="E129" s="337"/>
      <c r="F129" s="337"/>
      <c r="G129" s="337"/>
      <c r="H129" s="337"/>
      <c r="I129" s="337"/>
      <c r="J129" s="338"/>
    </row>
    <row r="130" spans="1:10" s="4" customFormat="1" ht="15" customHeight="1" x14ac:dyDescent="0.25">
      <c r="A130" s="15"/>
      <c r="B130" s="15"/>
      <c r="C130" s="336"/>
      <c r="D130" s="337"/>
      <c r="E130" s="337"/>
      <c r="F130" s="337"/>
      <c r="G130" s="337"/>
      <c r="H130" s="337"/>
      <c r="I130" s="337"/>
      <c r="J130" s="338"/>
    </row>
    <row r="131" spans="1:10" s="4" customFormat="1" ht="15" customHeight="1" x14ac:dyDescent="0.25">
      <c r="A131" s="15"/>
      <c r="B131" s="15"/>
      <c r="C131" s="342"/>
      <c r="D131" s="343"/>
      <c r="E131" s="343"/>
      <c r="F131" s="343"/>
      <c r="G131" s="343"/>
      <c r="H131" s="343"/>
      <c r="I131" s="343"/>
      <c r="J131" s="344"/>
    </row>
    <row r="132" spans="1:10" s="4" customFormat="1" ht="1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s="4" customFormat="1" ht="15" customHeight="1" x14ac:dyDescent="0.25">
      <c r="A133" s="15" t="s">
        <v>50</v>
      </c>
      <c r="B133" s="15"/>
      <c r="C133" s="339"/>
      <c r="D133" s="340"/>
      <c r="E133" s="340"/>
      <c r="F133" s="340"/>
      <c r="G133" s="340"/>
      <c r="H133" s="340"/>
      <c r="I133" s="340"/>
      <c r="J133" s="341"/>
    </row>
    <row r="134" spans="1:10" s="4" customFormat="1" ht="15" customHeight="1" x14ac:dyDescent="0.25">
      <c r="A134" s="15"/>
      <c r="B134" s="15"/>
      <c r="C134" s="336"/>
      <c r="D134" s="337"/>
      <c r="E134" s="337"/>
      <c r="F134" s="337"/>
      <c r="G134" s="337"/>
      <c r="H134" s="337"/>
      <c r="I134" s="337"/>
      <c r="J134" s="338"/>
    </row>
    <row r="135" spans="1:10" s="4" customFormat="1" ht="15" customHeight="1" x14ac:dyDescent="0.25">
      <c r="A135" s="15"/>
      <c r="B135" s="15"/>
      <c r="C135" s="336"/>
      <c r="D135" s="337"/>
      <c r="E135" s="337"/>
      <c r="F135" s="337"/>
      <c r="G135" s="337"/>
      <c r="H135" s="337"/>
      <c r="I135" s="337"/>
      <c r="J135" s="338"/>
    </row>
    <row r="136" spans="1:10" s="4" customFormat="1" ht="15" customHeight="1" x14ac:dyDescent="0.25">
      <c r="A136" s="15"/>
      <c r="B136" s="15"/>
      <c r="C136" s="342"/>
      <c r="D136" s="343"/>
      <c r="E136" s="343"/>
      <c r="F136" s="343"/>
      <c r="G136" s="343"/>
      <c r="H136" s="343"/>
      <c r="I136" s="343"/>
      <c r="J136" s="344"/>
    </row>
    <row r="137" spans="1:10" s="4" customFormat="1" ht="1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s="4" customFormat="1" ht="15" customHeight="1" x14ac:dyDescent="0.25">
      <c r="A138" s="24" t="s">
        <v>62</v>
      </c>
      <c r="C138" s="336"/>
      <c r="D138" s="337"/>
      <c r="E138" s="337"/>
      <c r="F138" s="337"/>
      <c r="G138" s="337"/>
      <c r="H138" s="337"/>
      <c r="I138" s="337"/>
      <c r="J138" s="338"/>
    </row>
    <row r="139" spans="1:10" s="4" customFormat="1" ht="15" customHeight="1" x14ac:dyDescent="0.25">
      <c r="A139" s="15"/>
      <c r="B139" s="15"/>
      <c r="C139" s="339"/>
      <c r="D139" s="340"/>
      <c r="E139" s="340"/>
      <c r="F139" s="340"/>
      <c r="G139" s="340"/>
      <c r="H139" s="340"/>
      <c r="I139" s="340"/>
      <c r="J139" s="341"/>
    </row>
    <row r="140" spans="1:10" s="4" customFormat="1" ht="15" customHeight="1" x14ac:dyDescent="0.25">
      <c r="A140" s="15"/>
      <c r="B140" s="15"/>
      <c r="C140" s="336"/>
      <c r="D140" s="337"/>
      <c r="E140" s="337"/>
      <c r="F140" s="337"/>
      <c r="G140" s="337"/>
      <c r="H140" s="337"/>
      <c r="I140" s="337"/>
      <c r="J140" s="338"/>
    </row>
    <row r="141" spans="1:10" s="4" customFormat="1" ht="15" customHeight="1" x14ac:dyDescent="0.25">
      <c r="A141" s="15"/>
      <c r="B141" s="15"/>
      <c r="C141" s="339"/>
      <c r="D141" s="340"/>
      <c r="E141" s="340"/>
      <c r="F141" s="340"/>
      <c r="G141" s="340"/>
      <c r="H141" s="340"/>
      <c r="I141" s="340"/>
      <c r="J141" s="341"/>
    </row>
    <row r="142" spans="1:10" s="4" customFormat="1" ht="15" customHeight="1" x14ac:dyDescent="0.25">
      <c r="A142" s="15"/>
      <c r="B142" s="15"/>
      <c r="C142" s="339"/>
      <c r="D142" s="340"/>
      <c r="E142" s="340"/>
      <c r="F142" s="340"/>
      <c r="G142" s="340"/>
      <c r="H142" s="340"/>
      <c r="I142" s="340"/>
      <c r="J142" s="341"/>
    </row>
    <row r="143" spans="1:10" s="4" customFormat="1" ht="15" customHeight="1" x14ac:dyDescent="0.25">
      <c r="A143" s="15"/>
      <c r="B143" s="15"/>
      <c r="C143" s="342"/>
      <c r="D143" s="343"/>
      <c r="E143" s="343"/>
      <c r="F143" s="343"/>
      <c r="G143" s="343"/>
      <c r="H143" s="343"/>
      <c r="I143" s="343"/>
      <c r="J143" s="344"/>
    </row>
    <row r="144" spans="1:10" s="234" customFormat="1" ht="15" customHeight="1" x14ac:dyDescent="0.25"/>
    <row r="145" spans="1:10" s="4" customFormat="1" ht="15" customHeight="1" x14ac:dyDescent="0.25">
      <c r="A145" s="24" t="s">
        <v>287</v>
      </c>
      <c r="C145" s="336"/>
      <c r="D145" s="337"/>
      <c r="E145" s="337"/>
      <c r="F145" s="337"/>
      <c r="G145" s="337"/>
      <c r="H145" s="337"/>
      <c r="I145" s="337"/>
      <c r="J145" s="338"/>
    </row>
    <row r="146" spans="1:10" s="4" customFormat="1" ht="15" customHeight="1" x14ac:dyDescent="0.25">
      <c r="A146" s="15"/>
      <c r="B146" s="15"/>
      <c r="C146" s="339"/>
      <c r="D146" s="340"/>
      <c r="E146" s="340"/>
      <c r="F146" s="340"/>
      <c r="G146" s="340"/>
      <c r="H146" s="340"/>
      <c r="I146" s="340"/>
      <c r="J146" s="341"/>
    </row>
    <row r="147" spans="1:10" s="4" customFormat="1" ht="15" customHeight="1" x14ac:dyDescent="0.25">
      <c r="A147" s="15"/>
      <c r="B147" s="15"/>
      <c r="C147" s="336"/>
      <c r="D147" s="337"/>
      <c r="E147" s="337"/>
      <c r="F147" s="337"/>
      <c r="G147" s="337"/>
      <c r="H147" s="337"/>
      <c r="I147" s="337"/>
      <c r="J147" s="338"/>
    </row>
    <row r="148" spans="1:10" s="4" customFormat="1" ht="15" customHeight="1" x14ac:dyDescent="0.25">
      <c r="A148" s="15"/>
      <c r="B148" s="15"/>
      <c r="C148" s="339"/>
      <c r="D148" s="340"/>
      <c r="E148" s="340"/>
      <c r="F148" s="340"/>
      <c r="G148" s="340"/>
      <c r="H148" s="340"/>
      <c r="I148" s="340"/>
      <c r="J148" s="341"/>
    </row>
    <row r="149" spans="1:10" s="4" customFormat="1" ht="15" customHeight="1" x14ac:dyDescent="0.25">
      <c r="A149" s="15"/>
      <c r="B149" s="15"/>
      <c r="C149" s="339"/>
      <c r="D149" s="340"/>
      <c r="E149" s="340"/>
      <c r="F149" s="340"/>
      <c r="G149" s="340"/>
      <c r="H149" s="340"/>
      <c r="I149" s="340"/>
      <c r="J149" s="341"/>
    </row>
    <row r="150" spans="1:10" s="4" customFormat="1" ht="15" customHeight="1" x14ac:dyDescent="0.25">
      <c r="A150" s="15"/>
      <c r="B150" s="15"/>
      <c r="C150" s="342"/>
      <c r="D150" s="343"/>
      <c r="E150" s="343"/>
      <c r="F150" s="343"/>
      <c r="G150" s="343"/>
      <c r="H150" s="343"/>
      <c r="I150" s="343"/>
      <c r="J150" s="344"/>
    </row>
    <row r="151" spans="1:10" x14ac:dyDescent="0.25"/>
    <row r="152" spans="1:10" x14ac:dyDescent="0.25">
      <c r="C152" s="10" t="s">
        <v>58</v>
      </c>
      <c r="D152" s="226"/>
      <c r="E152" s="227" t="s">
        <v>59</v>
      </c>
      <c r="F152" s="226"/>
      <c r="G152" s="227" t="s">
        <v>60</v>
      </c>
      <c r="H152" s="226"/>
      <c r="I152" s="210" t="s">
        <v>61</v>
      </c>
    </row>
    <row r="153" spans="1:10" ht="20.100000000000001" customHeight="1" x14ac:dyDescent="0.25">
      <c r="B153" s="16" t="s">
        <v>2</v>
      </c>
      <c r="C153" s="347"/>
      <c r="D153" s="347"/>
      <c r="E153" s="345" t="s">
        <v>71</v>
      </c>
      <c r="F153" s="346"/>
      <c r="G153" s="345"/>
      <c r="H153" s="346"/>
      <c r="I153" s="220"/>
    </row>
    <row r="154" spans="1:10" ht="20.100000000000001" customHeight="1" x14ac:dyDescent="0.25">
      <c r="B154" s="16" t="s">
        <v>57</v>
      </c>
      <c r="C154" s="347"/>
      <c r="D154" s="347"/>
      <c r="E154" s="345"/>
      <c r="F154" s="346"/>
      <c r="G154" s="345"/>
      <c r="H154" s="346"/>
      <c r="I154" s="220"/>
    </row>
    <row r="155" spans="1:10" ht="20.100000000000001" customHeight="1" x14ac:dyDescent="0.25">
      <c r="B155" s="16" t="s">
        <v>57</v>
      </c>
      <c r="C155" s="347"/>
      <c r="D155" s="347"/>
      <c r="E155" s="345"/>
      <c r="F155" s="346"/>
      <c r="G155" s="345"/>
      <c r="H155" s="346"/>
      <c r="I155" s="220"/>
    </row>
    <row r="156" spans="1:10" ht="20.100000000000001" customHeight="1" x14ac:dyDescent="0.25">
      <c r="B156" s="16" t="s">
        <v>57</v>
      </c>
      <c r="C156" s="347"/>
      <c r="D156" s="347"/>
      <c r="E156" s="345"/>
      <c r="F156" s="346"/>
      <c r="G156" s="345"/>
      <c r="H156" s="346"/>
      <c r="I156" s="220"/>
    </row>
    <row r="157" spans="1:10" x14ac:dyDescent="0.25"/>
    <row r="158" spans="1:10" x14ac:dyDescent="0.25"/>
    <row r="159" spans="1:10" x14ac:dyDescent="0.25"/>
    <row r="160" spans="1:1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</sheetData>
  <sheetProtection sheet="1" selectLockedCells="1"/>
  <customSheetViews>
    <customSheetView guid="{EBDC4E83-090A-4517-8038-A829E1104B47}" showPageBreaks="1" view="pageLayout" topLeftCell="A113">
      <selection sqref="A1:J141"/>
      <pageMargins left="0.25" right="0.25" top="0.75" bottom="0.75" header="0.3" footer="0.3"/>
      <printOptions horizontalCentered="1"/>
      <pageSetup orientation="portrait" r:id="rId1"/>
      <headerFooter differentFirst="1">
        <firstHeader>&amp;C&amp;G</firstHeader>
      </headerFooter>
    </customSheetView>
  </customSheetViews>
  <mergeCells count="115">
    <mergeCell ref="D32:J32"/>
    <mergeCell ref="H47:J47"/>
    <mergeCell ref="C47:E47"/>
    <mergeCell ref="H48:J48"/>
    <mergeCell ref="C49:E49"/>
    <mergeCell ref="H43:J43"/>
    <mergeCell ref="H44:K44"/>
    <mergeCell ref="C94:J94"/>
    <mergeCell ref="C95:J95"/>
    <mergeCell ref="C96:J96"/>
    <mergeCell ref="C97:J97"/>
    <mergeCell ref="C98:J98"/>
    <mergeCell ref="A58:B58"/>
    <mergeCell ref="C38:E38"/>
    <mergeCell ref="H37:J37"/>
    <mergeCell ref="H38:J38"/>
    <mergeCell ref="C57:J57"/>
    <mergeCell ref="C58:J58"/>
    <mergeCell ref="C78:J78"/>
    <mergeCell ref="C79:J79"/>
    <mergeCell ref="C70:J70"/>
    <mergeCell ref="C71:J71"/>
    <mergeCell ref="C72:J72"/>
    <mergeCell ref="B64:J64"/>
    <mergeCell ref="B65:J65"/>
    <mergeCell ref="B66:J66"/>
    <mergeCell ref="B67:J67"/>
    <mergeCell ref="C59:J59"/>
    <mergeCell ref="C60:J60"/>
    <mergeCell ref="C73:J73"/>
    <mergeCell ref="C74:J74"/>
    <mergeCell ref="A57:B57"/>
    <mergeCell ref="C3:G3"/>
    <mergeCell ref="C4:G4"/>
    <mergeCell ref="C6:G6"/>
    <mergeCell ref="C7:G7"/>
    <mergeCell ref="C9:G9"/>
    <mergeCell ref="E156:F156"/>
    <mergeCell ref="C50:E50"/>
    <mergeCell ref="C51:E51"/>
    <mergeCell ref="C52:E52"/>
    <mergeCell ref="C48:E48"/>
    <mergeCell ref="C53:E53"/>
    <mergeCell ref="B68:J68"/>
    <mergeCell ref="H52:J52"/>
    <mergeCell ref="H49:J49"/>
    <mergeCell ref="H50:J50"/>
    <mergeCell ref="H51:J51"/>
    <mergeCell ref="H53:J53"/>
    <mergeCell ref="C54:E54"/>
    <mergeCell ref="C55:E55"/>
    <mergeCell ref="C127:J127"/>
    <mergeCell ref="C121:J121"/>
    <mergeCell ref="H40:J40"/>
    <mergeCell ref="H41:J41"/>
    <mergeCell ref="H42:J42"/>
    <mergeCell ref="C10:G10"/>
    <mergeCell ref="C43:E43"/>
    <mergeCell ref="I13:J13"/>
    <mergeCell ref="I14:J14"/>
    <mergeCell ref="I15:J15"/>
    <mergeCell ref="I16:J16"/>
    <mergeCell ref="C30:J30"/>
    <mergeCell ref="C19:J19"/>
    <mergeCell ref="H39:J39"/>
    <mergeCell ref="D31:J31"/>
    <mergeCell ref="C20:J20"/>
    <mergeCell ref="C21:J21"/>
    <mergeCell ref="C26:J26"/>
    <mergeCell ref="C27:J27"/>
    <mergeCell ref="C28:J28"/>
    <mergeCell ref="H36:J36"/>
    <mergeCell ref="C36:E36"/>
    <mergeCell ref="C39:E39"/>
    <mergeCell ref="C40:E40"/>
    <mergeCell ref="C41:E41"/>
    <mergeCell ref="C42:E42"/>
    <mergeCell ref="C22:L22"/>
    <mergeCell ref="C23:J23"/>
    <mergeCell ref="C37:E37"/>
    <mergeCell ref="G153:H153"/>
    <mergeCell ref="G154:H154"/>
    <mergeCell ref="C131:J131"/>
    <mergeCell ref="C133:J133"/>
    <mergeCell ref="C136:J136"/>
    <mergeCell ref="C154:D154"/>
    <mergeCell ref="C155:D155"/>
    <mergeCell ref="C156:D156"/>
    <mergeCell ref="E153:F153"/>
    <mergeCell ref="E154:F154"/>
    <mergeCell ref="E155:F155"/>
    <mergeCell ref="C145:J145"/>
    <mergeCell ref="C146:J146"/>
    <mergeCell ref="C148:J148"/>
    <mergeCell ref="C149:J149"/>
    <mergeCell ref="C150:J150"/>
    <mergeCell ref="G155:H155"/>
    <mergeCell ref="G156:H156"/>
    <mergeCell ref="C153:D153"/>
    <mergeCell ref="C130:J130"/>
    <mergeCell ref="C134:J134"/>
    <mergeCell ref="C135:J135"/>
    <mergeCell ref="C140:J140"/>
    <mergeCell ref="C147:J147"/>
    <mergeCell ref="C122:J122"/>
    <mergeCell ref="C123:J123"/>
    <mergeCell ref="C124:J124"/>
    <mergeCell ref="C128:J128"/>
    <mergeCell ref="C129:J129"/>
    <mergeCell ref="C138:J138"/>
    <mergeCell ref="C139:J139"/>
    <mergeCell ref="C141:J141"/>
    <mergeCell ref="C142:J142"/>
    <mergeCell ref="C143:J143"/>
    <mergeCell ref="C125:J125"/>
  </mergeCells>
  <conditionalFormatting sqref="A26:B26">
    <cfRule type="expression" dxfId="2" priority="4">
      <formula>IF($C$25="yes",TRUE,FALSE)</formula>
    </cfRule>
  </conditionalFormatting>
  <printOptions horizontalCentered="1"/>
  <pageMargins left="0.1" right="0.1" top="0.5" bottom="0.5" header="0.3" footer="0.3"/>
  <pageSetup fitToHeight="3" orientation="portrait" r:id="rId2"/>
  <headerFooter differentFirst="1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</xdr:col>
                    <xdr:colOff>228600</xdr:colOff>
                    <xdr:row>79</xdr:row>
                    <xdr:rowOff>85725</xdr:rowOff>
                  </from>
                  <to>
                    <xdr:col>2</xdr:col>
                    <xdr:colOff>542925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571500</xdr:colOff>
                    <xdr:row>79</xdr:row>
                    <xdr:rowOff>85725</xdr:rowOff>
                  </from>
                  <to>
                    <xdr:col>3</xdr:col>
                    <xdr:colOff>866775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5</xdr:col>
                    <xdr:colOff>990600</xdr:colOff>
                    <xdr:row>79</xdr:row>
                    <xdr:rowOff>85725</xdr:rowOff>
                  </from>
                  <to>
                    <xdr:col>6</xdr:col>
                    <xdr:colOff>342900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7</xdr:col>
                    <xdr:colOff>685800</xdr:colOff>
                    <xdr:row>79</xdr:row>
                    <xdr:rowOff>85725</xdr:rowOff>
                  </from>
                  <to>
                    <xdr:col>8</xdr:col>
                    <xdr:colOff>228600</xdr:colOff>
                    <xdr:row>81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0731DA0-9137-4F27-B7F4-BFE2C9ED0D61}">
            <xm:f>IF('picklist data'!$F$2=FLASE,TRUE,FALSE)</xm:f>
            <x14:dxf>
              <font>
                <b/>
                <i val="0"/>
              </font>
              <fill>
                <patternFill>
                  <bgColor theme="5" tint="-0.24994659260841701"/>
                </patternFill>
              </fill>
            </x14:dxf>
          </x14:cfRule>
          <x14:cfRule type="expression" priority="2" stopIfTrue="1" id="{19273EF1-503E-4EFE-B2D9-1E21084ED6C1}">
            <xm:f>'picklist data'!$F$2</xm:f>
            <x14:dxf>
              <fill>
                <patternFill>
                  <bgColor theme="9"/>
                </patternFill>
              </fill>
            </x14:dxf>
          </x14:cfRule>
          <xm:sqref>C81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xr:uid="{9CB3AED2-1725-4ADC-9B17-DD0E43110D9C}">
          <x14:formula1>
            <xm:f>'picklist data'!$C$3:$C$4</xm:f>
          </x14:formula1>
          <xm:sqref>C25 E76 G76 I76</xm:sqref>
        </x14:dataValidation>
        <x14:dataValidation type="list" allowBlank="1" showInputMessage="1" showErrorMessage="1" xr:uid="{C60DDFCE-DD46-7A45-A19D-086DFB3FEB74}">
          <x14:formula1>
            <xm:f>'picklist data'!$N$1:$N$2</xm:f>
          </x14:formula1>
          <xm:sqref>A14</xm:sqref>
        </x14:dataValidation>
        <x14:dataValidation type="list" allowBlank="1" showInputMessage="1" showErrorMessage="1" xr:uid="{C4B1F039-F264-214F-BE0A-DEACE7484229}">
          <x14:formula1>
            <xm:f>'picklist data'!$K$1:$K$6</xm:f>
          </x14:formula1>
          <xm:sqref>D112:D114 B14 D102:D107</xm:sqref>
        </x14:dataValidation>
        <x14:dataValidation type="list" allowBlank="1" showInputMessage="1" showErrorMessage="1" xr:uid="{0DF82673-A1D2-3445-AB37-956AB0CBFD40}">
          <x14:formula1>
            <xm:f>'picklist data'!$P$1:$P$2</xm:f>
          </x14:formula1>
          <xm:sqref>C84 F84</xm:sqref>
        </x14:dataValidation>
        <x14:dataValidation type="list" allowBlank="1" showInputMessage="1" showErrorMessage="1" xr:uid="{A71BC96F-B393-A447-A117-B65F14C85022}">
          <x14:formula1>
            <xm:f>'picklist data'!$K$1:$K$7</xm:f>
          </x14:formula1>
          <xm:sqref>B16</xm:sqref>
        </x14:dataValidation>
        <x14:dataValidation type="list" allowBlank="1" showInputMessage="1" showErrorMessage="1" xr:uid="{D38626AE-AF15-8846-8CC2-E7CCE6985623}">
          <x14:formula1>
            <xm:f>'picklist data'!$E$2:$E$5</xm:f>
          </x14:formula1>
          <xm:sqref>C48:E48</xm:sqref>
        </x14:dataValidation>
        <x14:dataValidation type="list" allowBlank="1" showInputMessage="1" showErrorMessage="1" xr:uid="{774680D2-7CBF-4348-8D1C-4FA8596B6015}">
          <x14:formula1>
            <xm:f>'picklist data'!$P$1:$P$3</xm:f>
          </x14:formula1>
          <xm:sqref>I84</xm:sqref>
        </x14:dataValidation>
        <x14:dataValidation type="list" allowBlank="1" showInputMessage="1" showErrorMessage="1" xr:uid="{1415A18A-9169-5D40-B21B-DA6C50C22D0A}">
          <x14:formula1>
            <xm:f>'picklist data'!$H$1:$H$5</xm:f>
          </x14:formula1>
          <xm:sqref>C47:E47</xm:sqref>
        </x14:dataValidation>
        <x14:dataValidation type="list" allowBlank="1" showInputMessage="1" showErrorMessage="1" xr:uid="{C6D677AE-C04F-7C4B-A487-633C18572169}">
          <x14:formula1>
            <xm:f>'picklist data'!$N$1:$N$3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7E95-5E2D-F047-8EBB-CCE1121F0281}">
  <dimension ref="A1:C194"/>
  <sheetViews>
    <sheetView tabSelected="1" topLeftCell="A106" zoomScale="115" zoomScaleNormal="115" workbookViewId="0">
      <selection activeCell="C132" sqref="C132"/>
    </sheetView>
  </sheetViews>
  <sheetFormatPr defaultColWidth="8.85546875" defaultRowHeight="12" x14ac:dyDescent="0.2"/>
  <cols>
    <col min="1" max="1" width="8.85546875" style="49"/>
    <col min="2" max="2" width="54.28515625" style="49" customWidth="1"/>
    <col min="3" max="3" width="27" style="51" customWidth="1"/>
    <col min="4" max="16384" width="8.85546875" style="49"/>
  </cols>
  <sheetData>
    <row r="1" spans="1:3" ht="22.15" customHeight="1" thickBot="1" x14ac:dyDescent="0.3">
      <c r="B1" s="282" t="s">
        <v>87</v>
      </c>
      <c r="C1" s="44"/>
    </row>
    <row r="2" spans="1:3" ht="11.1" customHeight="1" x14ac:dyDescent="0.2">
      <c r="B2" s="50"/>
    </row>
    <row r="3" spans="1:3" ht="14.1" customHeight="1" x14ac:dyDescent="0.2">
      <c r="B3" s="60" t="s">
        <v>88</v>
      </c>
      <c r="C3" s="308"/>
    </row>
    <row r="4" spans="1:3" ht="14.1" customHeight="1" x14ac:dyDescent="0.2">
      <c r="B4" s="60" t="s">
        <v>410</v>
      </c>
      <c r="C4" s="308"/>
    </row>
    <row r="5" spans="1:3" ht="14.1" customHeight="1" x14ac:dyDescent="0.2">
      <c r="B5" s="60" t="s">
        <v>90</v>
      </c>
      <c r="C5" s="308"/>
    </row>
    <row r="6" spans="1:3" ht="14.1" customHeight="1" x14ac:dyDescent="0.2">
      <c r="B6" s="60" t="s">
        <v>92</v>
      </c>
      <c r="C6" s="309"/>
    </row>
    <row r="7" spans="1:3" ht="14.1" customHeight="1" x14ac:dyDescent="0.2">
      <c r="B7" s="51"/>
      <c r="C7" s="61"/>
    </row>
    <row r="8" spans="1:3" ht="14.1" customHeight="1" thickBot="1" x14ac:dyDescent="0.25">
      <c r="B8" s="43"/>
      <c r="C8" s="216"/>
    </row>
    <row r="9" spans="1:3" ht="12.75" thickBot="1" x14ac:dyDescent="0.25">
      <c r="B9" s="201" t="s">
        <v>96</v>
      </c>
      <c r="C9" s="271" t="s">
        <v>97</v>
      </c>
    </row>
    <row r="10" spans="1:3" ht="14.1" customHeight="1" x14ac:dyDescent="0.2">
      <c r="B10" s="64" t="s">
        <v>102</v>
      </c>
      <c r="C10" s="270"/>
    </row>
    <row r="11" spans="1:3" ht="14.1" customHeight="1" x14ac:dyDescent="0.2">
      <c r="A11" s="306">
        <v>100</v>
      </c>
      <c r="B11" s="252" t="s">
        <v>293</v>
      </c>
      <c r="C11" s="253"/>
    </row>
    <row r="12" spans="1:3" ht="14.1" customHeight="1" x14ac:dyDescent="0.2">
      <c r="A12" s="326">
        <v>101</v>
      </c>
      <c r="B12" s="315" t="s">
        <v>294</v>
      </c>
      <c r="C12" s="325">
        <v>0</v>
      </c>
    </row>
    <row r="13" spans="1:3" ht="14.1" customHeight="1" x14ac:dyDescent="0.2">
      <c r="A13" s="326">
        <v>102</v>
      </c>
      <c r="B13" s="316" t="s">
        <v>295</v>
      </c>
      <c r="C13" s="325">
        <v>0</v>
      </c>
    </row>
    <row r="14" spans="1:3" ht="14.1" customHeight="1" x14ac:dyDescent="0.2">
      <c r="A14" s="326">
        <v>103</v>
      </c>
      <c r="B14" s="307" t="s">
        <v>301</v>
      </c>
      <c r="C14" s="325">
        <v>0</v>
      </c>
    </row>
    <row r="15" spans="1:3" ht="14.1" customHeight="1" x14ac:dyDescent="0.2">
      <c r="A15" s="326">
        <v>104</v>
      </c>
      <c r="B15" s="317" t="s">
        <v>298</v>
      </c>
      <c r="C15" s="325">
        <v>0</v>
      </c>
    </row>
    <row r="16" spans="1:3" ht="14.1" customHeight="1" x14ac:dyDescent="0.2">
      <c r="A16" s="326">
        <v>105</v>
      </c>
      <c r="B16" s="317" t="s">
        <v>299</v>
      </c>
      <c r="C16" s="325">
        <v>0</v>
      </c>
    </row>
    <row r="17" spans="1:3" ht="14.1" customHeight="1" x14ac:dyDescent="0.2">
      <c r="A17" s="326">
        <v>106</v>
      </c>
      <c r="B17" s="317" t="s">
        <v>300</v>
      </c>
      <c r="C17" s="325">
        <v>0</v>
      </c>
    </row>
    <row r="18" spans="1:3" ht="14.1" customHeight="1" x14ac:dyDescent="0.2">
      <c r="A18" s="326">
        <v>107</v>
      </c>
      <c r="B18" s="317" t="s">
        <v>399</v>
      </c>
      <c r="C18" s="325">
        <v>0</v>
      </c>
    </row>
    <row r="19" spans="1:3" ht="14.1" customHeight="1" x14ac:dyDescent="0.2">
      <c r="A19" s="326">
        <v>108</v>
      </c>
      <c r="B19" s="312" t="s">
        <v>396</v>
      </c>
      <c r="C19" s="325">
        <v>0</v>
      </c>
    </row>
    <row r="20" spans="1:3" ht="14.1" customHeight="1" x14ac:dyDescent="0.2">
      <c r="A20" s="326">
        <v>109</v>
      </c>
      <c r="B20" s="316" t="s">
        <v>296</v>
      </c>
      <c r="C20" s="325">
        <v>0</v>
      </c>
    </row>
    <row r="21" spans="1:3" ht="14.1" customHeight="1" x14ac:dyDescent="0.2">
      <c r="A21" s="326">
        <v>110</v>
      </c>
      <c r="B21" s="316" t="s">
        <v>374</v>
      </c>
      <c r="C21" s="325">
        <v>0</v>
      </c>
    </row>
    <row r="22" spans="1:3" ht="14.1" customHeight="1" x14ac:dyDescent="0.2">
      <c r="A22" s="326">
        <v>111</v>
      </c>
      <c r="B22" s="312" t="s">
        <v>297</v>
      </c>
      <c r="C22" s="325">
        <v>0</v>
      </c>
    </row>
    <row r="23" spans="1:3" ht="14.1" customHeight="1" x14ac:dyDescent="0.2">
      <c r="A23" s="326">
        <v>112</v>
      </c>
      <c r="B23" s="312" t="s">
        <v>303</v>
      </c>
      <c r="C23" s="325">
        <v>0</v>
      </c>
    </row>
    <row r="24" spans="1:3" ht="14.1" customHeight="1" x14ac:dyDescent="0.2">
      <c r="A24" s="326">
        <v>113</v>
      </c>
      <c r="B24" s="307" t="s">
        <v>404</v>
      </c>
      <c r="C24" s="325">
        <v>0</v>
      </c>
    </row>
    <row r="25" spans="1:3" ht="14.1" customHeight="1" x14ac:dyDescent="0.2">
      <c r="A25" s="326">
        <v>114</v>
      </c>
      <c r="B25" s="307" t="s">
        <v>400</v>
      </c>
      <c r="C25" s="325">
        <v>0</v>
      </c>
    </row>
    <row r="26" spans="1:3" ht="14.1" customHeight="1" x14ac:dyDescent="0.2">
      <c r="A26" s="326">
        <v>115</v>
      </c>
      <c r="B26" s="307" t="s">
        <v>401</v>
      </c>
      <c r="C26" s="325">
        <v>0</v>
      </c>
    </row>
    <row r="27" spans="1:3" ht="14.1" customHeight="1" x14ac:dyDescent="0.2">
      <c r="A27" s="326">
        <v>116</v>
      </c>
      <c r="B27" s="307" t="s">
        <v>402</v>
      </c>
      <c r="C27" s="325">
        <v>0</v>
      </c>
    </row>
    <row r="28" spans="1:3" ht="14.1" customHeight="1" x14ac:dyDescent="0.2">
      <c r="A28" s="49">
        <v>200</v>
      </c>
      <c r="B28" s="255" t="s">
        <v>302</v>
      </c>
      <c r="C28" s="259"/>
    </row>
    <row r="29" spans="1:3" ht="14.1" customHeight="1" x14ac:dyDescent="0.2">
      <c r="A29" s="326">
        <v>201</v>
      </c>
      <c r="B29" s="315" t="s">
        <v>360</v>
      </c>
      <c r="C29" s="325">
        <v>0</v>
      </c>
    </row>
    <row r="30" spans="1:3" ht="14.1" customHeight="1" x14ac:dyDescent="0.2">
      <c r="A30" s="326">
        <v>202</v>
      </c>
      <c r="B30" s="312" t="s">
        <v>304</v>
      </c>
      <c r="C30" s="325">
        <v>0</v>
      </c>
    </row>
    <row r="31" spans="1:3" ht="14.1" customHeight="1" x14ac:dyDescent="0.2">
      <c r="A31" s="326">
        <v>203</v>
      </c>
      <c r="B31" s="312" t="s">
        <v>305</v>
      </c>
      <c r="C31" s="325">
        <v>0</v>
      </c>
    </row>
    <row r="32" spans="1:3" ht="14.1" customHeight="1" x14ac:dyDescent="0.2">
      <c r="A32" s="326">
        <v>204</v>
      </c>
      <c r="B32" s="312" t="s">
        <v>306</v>
      </c>
      <c r="C32" s="325">
        <v>0</v>
      </c>
    </row>
    <row r="33" spans="1:3" ht="14.1" customHeight="1" x14ac:dyDescent="0.2">
      <c r="A33" s="326">
        <v>205</v>
      </c>
      <c r="B33" s="312" t="s">
        <v>372</v>
      </c>
      <c r="C33" s="325">
        <v>0</v>
      </c>
    </row>
    <row r="34" spans="1:3" ht="14.1" customHeight="1" x14ac:dyDescent="0.2">
      <c r="A34" s="326">
        <v>206</v>
      </c>
      <c r="B34" s="327" t="s">
        <v>375</v>
      </c>
      <c r="C34" s="325">
        <v>0</v>
      </c>
    </row>
    <row r="35" spans="1:3" ht="14.1" customHeight="1" x14ac:dyDescent="0.2">
      <c r="A35" s="306">
        <v>300</v>
      </c>
      <c r="B35" s="255" t="s">
        <v>307</v>
      </c>
      <c r="C35" s="259"/>
    </row>
    <row r="36" spans="1:3" ht="14.1" customHeight="1" x14ac:dyDescent="0.2">
      <c r="A36" s="326">
        <v>301</v>
      </c>
      <c r="B36" s="312" t="s">
        <v>308</v>
      </c>
      <c r="C36" s="325">
        <v>0</v>
      </c>
    </row>
    <row r="37" spans="1:3" ht="14.1" customHeight="1" x14ac:dyDescent="0.2">
      <c r="A37" s="326">
        <v>302</v>
      </c>
      <c r="B37" s="312" t="s">
        <v>312</v>
      </c>
      <c r="C37" s="325">
        <v>0</v>
      </c>
    </row>
    <row r="38" spans="1:3" ht="14.25" customHeight="1" x14ac:dyDescent="0.2">
      <c r="A38" s="326">
        <v>303</v>
      </c>
      <c r="B38" s="312" t="s">
        <v>317</v>
      </c>
      <c r="C38" s="325">
        <v>0</v>
      </c>
    </row>
    <row r="39" spans="1:3" ht="14.1" customHeight="1" x14ac:dyDescent="0.2">
      <c r="A39" s="326">
        <v>304</v>
      </c>
      <c r="B39" s="312" t="s">
        <v>359</v>
      </c>
      <c r="C39" s="325">
        <v>0</v>
      </c>
    </row>
    <row r="40" spans="1:3" ht="14.1" customHeight="1" x14ac:dyDescent="0.2">
      <c r="A40" s="326">
        <v>305</v>
      </c>
      <c r="B40" s="307" t="s">
        <v>358</v>
      </c>
      <c r="C40" s="325">
        <v>0</v>
      </c>
    </row>
    <row r="41" spans="1:3" ht="14.1" customHeight="1" x14ac:dyDescent="0.2">
      <c r="A41" s="326">
        <v>306</v>
      </c>
      <c r="B41" s="312" t="s">
        <v>376</v>
      </c>
      <c r="C41" s="325">
        <v>0</v>
      </c>
    </row>
    <row r="42" spans="1:3" ht="14.1" customHeight="1" x14ac:dyDescent="0.2">
      <c r="A42" s="326">
        <v>307</v>
      </c>
      <c r="B42" s="312" t="s">
        <v>349</v>
      </c>
      <c r="C42" s="325">
        <v>0</v>
      </c>
    </row>
    <row r="43" spans="1:3" ht="14.1" customHeight="1" x14ac:dyDescent="0.2">
      <c r="A43" s="326">
        <v>308</v>
      </c>
      <c r="B43" s="312" t="s">
        <v>325</v>
      </c>
      <c r="C43" s="325">
        <v>0</v>
      </c>
    </row>
    <row r="44" spans="1:3" ht="14.1" customHeight="1" x14ac:dyDescent="0.2">
      <c r="A44" s="326">
        <v>309</v>
      </c>
      <c r="B44" s="312" t="s">
        <v>309</v>
      </c>
      <c r="C44" s="325">
        <v>0</v>
      </c>
    </row>
    <row r="45" spans="1:3" ht="14.1" customHeight="1" x14ac:dyDescent="0.2">
      <c r="A45" s="326">
        <v>310</v>
      </c>
      <c r="B45" s="312" t="s">
        <v>310</v>
      </c>
      <c r="C45" s="325">
        <v>0</v>
      </c>
    </row>
    <row r="46" spans="1:3" ht="14.1" customHeight="1" x14ac:dyDescent="0.2">
      <c r="A46" s="326">
        <v>311</v>
      </c>
      <c r="B46" s="312" t="s">
        <v>377</v>
      </c>
      <c r="C46" s="325">
        <v>0</v>
      </c>
    </row>
    <row r="47" spans="1:3" ht="14.1" customHeight="1" x14ac:dyDescent="0.2">
      <c r="A47" s="306">
        <v>400</v>
      </c>
      <c r="B47" s="255" t="s">
        <v>313</v>
      </c>
      <c r="C47" s="259"/>
    </row>
    <row r="48" spans="1:3" ht="14.1" customHeight="1" x14ac:dyDescent="0.2">
      <c r="A48" s="326">
        <v>401</v>
      </c>
      <c r="B48" s="312" t="s">
        <v>314</v>
      </c>
      <c r="C48" s="325">
        <v>0</v>
      </c>
    </row>
    <row r="49" spans="1:3" ht="14.1" customHeight="1" x14ac:dyDescent="0.2">
      <c r="A49" s="326">
        <v>402</v>
      </c>
      <c r="B49" s="312" t="s">
        <v>315</v>
      </c>
      <c r="C49" s="325">
        <v>0</v>
      </c>
    </row>
    <row r="50" spans="1:3" ht="14.1" customHeight="1" x14ac:dyDescent="0.2">
      <c r="A50" s="326">
        <v>403</v>
      </c>
      <c r="B50" s="312" t="s">
        <v>328</v>
      </c>
      <c r="C50" s="325">
        <v>0</v>
      </c>
    </row>
    <row r="51" spans="1:3" ht="14.1" customHeight="1" x14ac:dyDescent="0.2">
      <c r="A51" s="326">
        <v>404</v>
      </c>
      <c r="B51" s="312" t="s">
        <v>346</v>
      </c>
      <c r="C51" s="325">
        <v>0</v>
      </c>
    </row>
    <row r="52" spans="1:3" ht="14.1" customHeight="1" x14ac:dyDescent="0.2">
      <c r="A52" s="326">
        <v>405</v>
      </c>
      <c r="B52" s="312" t="s">
        <v>347</v>
      </c>
      <c r="C52" s="325">
        <v>0</v>
      </c>
    </row>
    <row r="53" spans="1:3" ht="14.1" customHeight="1" x14ac:dyDescent="0.2">
      <c r="A53" s="326">
        <v>406</v>
      </c>
      <c r="B53" s="319" t="s">
        <v>125</v>
      </c>
      <c r="C53" s="325">
        <v>0</v>
      </c>
    </row>
    <row r="54" spans="1:3" ht="14.1" customHeight="1" x14ac:dyDescent="0.2">
      <c r="A54" s="326">
        <v>407</v>
      </c>
      <c r="B54" s="319" t="s">
        <v>126</v>
      </c>
      <c r="C54" s="325">
        <v>0</v>
      </c>
    </row>
    <row r="55" spans="1:3" ht="14.1" customHeight="1" x14ac:dyDescent="0.2">
      <c r="A55" s="326">
        <v>408</v>
      </c>
      <c r="B55" s="319" t="s">
        <v>316</v>
      </c>
      <c r="C55" s="325">
        <v>0</v>
      </c>
    </row>
    <row r="56" spans="1:3" ht="14.1" customHeight="1" x14ac:dyDescent="0.2">
      <c r="A56" s="326">
        <v>409</v>
      </c>
      <c r="B56" s="319" t="s">
        <v>365</v>
      </c>
      <c r="C56" s="325">
        <v>0</v>
      </c>
    </row>
    <row r="57" spans="1:3" ht="14.1" customHeight="1" x14ac:dyDescent="0.2">
      <c r="A57" s="326">
        <v>410</v>
      </c>
      <c r="B57" s="319" t="s">
        <v>366</v>
      </c>
      <c r="C57" s="325">
        <v>0</v>
      </c>
    </row>
    <row r="58" spans="1:3" ht="14.1" customHeight="1" x14ac:dyDescent="0.2">
      <c r="A58" s="326">
        <v>411</v>
      </c>
      <c r="B58" s="320" t="s">
        <v>367</v>
      </c>
      <c r="C58" s="325">
        <v>0</v>
      </c>
    </row>
    <row r="59" spans="1:3" ht="14.1" customHeight="1" x14ac:dyDescent="0.2">
      <c r="A59" s="326">
        <v>412</v>
      </c>
      <c r="B59" s="312" t="s">
        <v>318</v>
      </c>
      <c r="C59" s="325">
        <v>0</v>
      </c>
    </row>
    <row r="60" spans="1:3" ht="14.1" customHeight="1" x14ac:dyDescent="0.2">
      <c r="A60" s="326">
        <v>413</v>
      </c>
      <c r="B60" s="312" t="s">
        <v>319</v>
      </c>
      <c r="C60" s="325">
        <v>0</v>
      </c>
    </row>
    <row r="61" spans="1:3" ht="14.1" customHeight="1" x14ac:dyDescent="0.2">
      <c r="A61" s="326">
        <v>414</v>
      </c>
      <c r="B61" s="312" t="s">
        <v>327</v>
      </c>
      <c r="C61" s="325">
        <v>0</v>
      </c>
    </row>
    <row r="62" spans="1:3" ht="14.1" customHeight="1" x14ac:dyDescent="0.2">
      <c r="A62" s="326">
        <v>415</v>
      </c>
      <c r="B62" s="312" t="s">
        <v>326</v>
      </c>
      <c r="C62" s="325">
        <v>0</v>
      </c>
    </row>
    <row r="63" spans="1:3" ht="14.1" customHeight="1" x14ac:dyDescent="0.2">
      <c r="A63" s="326">
        <v>416</v>
      </c>
      <c r="B63" s="312" t="s">
        <v>320</v>
      </c>
      <c r="C63" s="325">
        <v>0</v>
      </c>
    </row>
    <row r="64" spans="1:3" ht="14.1" customHeight="1" x14ac:dyDescent="0.2">
      <c r="A64" s="326">
        <v>417</v>
      </c>
      <c r="B64" s="312" t="s">
        <v>321</v>
      </c>
      <c r="C64" s="325">
        <v>0</v>
      </c>
    </row>
    <row r="65" spans="1:3" ht="14.1" customHeight="1" x14ac:dyDescent="0.2">
      <c r="A65" s="326">
        <v>418</v>
      </c>
      <c r="B65" s="312" t="s">
        <v>329</v>
      </c>
      <c r="C65" s="325">
        <v>0</v>
      </c>
    </row>
    <row r="66" spans="1:3" ht="14.1" customHeight="1" x14ac:dyDescent="0.2">
      <c r="A66" s="326">
        <v>419</v>
      </c>
      <c r="B66" s="319" t="s">
        <v>116</v>
      </c>
      <c r="C66" s="325">
        <v>0</v>
      </c>
    </row>
    <row r="67" spans="1:3" ht="14.1" customHeight="1" x14ac:dyDescent="0.2">
      <c r="A67" s="326">
        <v>420</v>
      </c>
      <c r="B67" s="312" t="s">
        <v>322</v>
      </c>
      <c r="C67" s="325">
        <v>0</v>
      </c>
    </row>
    <row r="68" spans="1:3" ht="14.1" customHeight="1" x14ac:dyDescent="0.2">
      <c r="A68" s="326">
        <v>421</v>
      </c>
      <c r="B68" s="312" t="s">
        <v>323</v>
      </c>
      <c r="C68" s="325">
        <v>0</v>
      </c>
    </row>
    <row r="69" spans="1:3" ht="14.1" customHeight="1" x14ac:dyDescent="0.2">
      <c r="A69" s="326">
        <v>422</v>
      </c>
      <c r="B69" s="312" t="s">
        <v>324</v>
      </c>
      <c r="C69" s="325">
        <v>0</v>
      </c>
    </row>
    <row r="70" spans="1:3" ht="14.1" customHeight="1" x14ac:dyDescent="0.2">
      <c r="A70" s="326">
        <v>424</v>
      </c>
      <c r="B70" s="312" t="s">
        <v>361</v>
      </c>
      <c r="C70" s="325">
        <v>0</v>
      </c>
    </row>
    <row r="71" spans="1:3" ht="14.1" customHeight="1" x14ac:dyDescent="0.2">
      <c r="A71" s="326">
        <v>425</v>
      </c>
      <c r="B71" s="331" t="s">
        <v>336</v>
      </c>
      <c r="C71" s="325">
        <v>0</v>
      </c>
    </row>
    <row r="72" spans="1:3" ht="14.1" customHeight="1" x14ac:dyDescent="0.2">
      <c r="A72" s="306">
        <v>500</v>
      </c>
      <c r="B72" s="255" t="s">
        <v>330</v>
      </c>
      <c r="C72" s="264"/>
    </row>
    <row r="73" spans="1:3" ht="14.1" customHeight="1" x14ac:dyDescent="0.2">
      <c r="A73" s="326">
        <v>501</v>
      </c>
      <c r="B73" s="312" t="s">
        <v>335</v>
      </c>
      <c r="C73" s="325">
        <v>0</v>
      </c>
    </row>
    <row r="74" spans="1:3" ht="14.1" customHeight="1" x14ac:dyDescent="0.2">
      <c r="A74" s="326">
        <v>502</v>
      </c>
      <c r="B74" s="312" t="s">
        <v>344</v>
      </c>
      <c r="C74" s="325">
        <v>0</v>
      </c>
    </row>
    <row r="75" spans="1:3" ht="14.1" customHeight="1" x14ac:dyDescent="0.2">
      <c r="A75" s="326">
        <v>503</v>
      </c>
      <c r="B75" s="312" t="s">
        <v>332</v>
      </c>
      <c r="C75" s="325">
        <v>0</v>
      </c>
    </row>
    <row r="76" spans="1:3" ht="14.1" customHeight="1" x14ac:dyDescent="0.2">
      <c r="A76" s="326">
        <v>504</v>
      </c>
      <c r="B76" s="312" t="s">
        <v>406</v>
      </c>
      <c r="C76" s="325">
        <v>0</v>
      </c>
    </row>
    <row r="77" spans="1:3" ht="14.1" customHeight="1" x14ac:dyDescent="0.2">
      <c r="A77" s="326">
        <v>505</v>
      </c>
      <c r="B77" s="312" t="s">
        <v>334</v>
      </c>
      <c r="C77" s="325">
        <v>0</v>
      </c>
    </row>
    <row r="78" spans="1:3" ht="14.1" customHeight="1" x14ac:dyDescent="0.2">
      <c r="A78" s="326">
        <v>506</v>
      </c>
      <c r="B78" s="312" t="s">
        <v>339</v>
      </c>
      <c r="C78" s="325">
        <v>0</v>
      </c>
    </row>
    <row r="79" spans="1:3" ht="14.1" customHeight="1" x14ac:dyDescent="0.2">
      <c r="A79" s="326">
        <v>507</v>
      </c>
      <c r="B79" s="312" t="s">
        <v>337</v>
      </c>
      <c r="C79" s="325">
        <v>0</v>
      </c>
    </row>
    <row r="80" spans="1:3" ht="14.1" customHeight="1" x14ac:dyDescent="0.2">
      <c r="A80" s="326">
        <v>508</v>
      </c>
      <c r="B80" s="312" t="s">
        <v>338</v>
      </c>
      <c r="C80" s="325">
        <v>0</v>
      </c>
    </row>
    <row r="81" spans="1:3" ht="14.1" customHeight="1" x14ac:dyDescent="0.2">
      <c r="A81" s="326">
        <v>509</v>
      </c>
      <c r="B81" s="312" t="s">
        <v>340</v>
      </c>
      <c r="C81" s="325">
        <v>0</v>
      </c>
    </row>
    <row r="82" spans="1:3" ht="14.1" customHeight="1" x14ac:dyDescent="0.2">
      <c r="A82" s="326">
        <v>510</v>
      </c>
      <c r="B82" s="312" t="s">
        <v>342</v>
      </c>
      <c r="C82" s="325">
        <v>0</v>
      </c>
    </row>
    <row r="83" spans="1:3" ht="14.1" customHeight="1" x14ac:dyDescent="0.2">
      <c r="A83" s="326">
        <v>511</v>
      </c>
      <c r="B83" s="312" t="s">
        <v>341</v>
      </c>
      <c r="C83" s="325">
        <v>0</v>
      </c>
    </row>
    <row r="84" spans="1:3" ht="14.1" customHeight="1" x14ac:dyDescent="0.2">
      <c r="A84" s="326">
        <v>512</v>
      </c>
      <c r="B84" s="312" t="s">
        <v>343</v>
      </c>
      <c r="C84" s="325">
        <v>0</v>
      </c>
    </row>
    <row r="85" spans="1:3" ht="14.1" customHeight="1" x14ac:dyDescent="0.2">
      <c r="A85" s="326">
        <v>513</v>
      </c>
      <c r="B85" s="312" t="s">
        <v>345</v>
      </c>
      <c r="C85" s="325">
        <v>0</v>
      </c>
    </row>
    <row r="86" spans="1:3" ht="14.1" customHeight="1" x14ac:dyDescent="0.2">
      <c r="A86" s="326">
        <v>514</v>
      </c>
      <c r="B86" s="316" t="s">
        <v>352</v>
      </c>
      <c r="C86" s="325">
        <v>0</v>
      </c>
    </row>
    <row r="87" spans="1:3" ht="14.1" customHeight="1" x14ac:dyDescent="0.2">
      <c r="A87" s="326">
        <v>515</v>
      </c>
      <c r="B87" s="316" t="s">
        <v>140</v>
      </c>
      <c r="C87" s="325">
        <v>0</v>
      </c>
    </row>
    <row r="88" spans="1:3" ht="14.1" customHeight="1" x14ac:dyDescent="0.2">
      <c r="A88" s="326">
        <v>516</v>
      </c>
      <c r="B88" s="328" t="s">
        <v>110</v>
      </c>
      <c r="C88" s="325">
        <v>0</v>
      </c>
    </row>
    <row r="89" spans="1:3" ht="14.1" customHeight="1" x14ac:dyDescent="0.2">
      <c r="A89" s="306">
        <v>600</v>
      </c>
      <c r="B89" s="310" t="s">
        <v>348</v>
      </c>
      <c r="C89" s="264"/>
    </row>
    <row r="90" spans="1:3" ht="14.1" customHeight="1" x14ac:dyDescent="0.2">
      <c r="A90" s="305">
        <v>601</v>
      </c>
      <c r="B90" s="318" t="s">
        <v>368</v>
      </c>
      <c r="C90" s="325">
        <v>0</v>
      </c>
    </row>
    <row r="91" spans="1:3" ht="14.1" customHeight="1" x14ac:dyDescent="0.2">
      <c r="A91" s="305">
        <v>602</v>
      </c>
      <c r="B91" s="318" t="s">
        <v>405</v>
      </c>
      <c r="C91" s="325">
        <v>0</v>
      </c>
    </row>
    <row r="92" spans="1:3" ht="14.1" customHeight="1" x14ac:dyDescent="0.2">
      <c r="A92" s="305">
        <v>603</v>
      </c>
      <c r="B92" s="319" t="s">
        <v>363</v>
      </c>
      <c r="C92" s="325">
        <v>0</v>
      </c>
    </row>
    <row r="93" spans="1:3" ht="14.1" customHeight="1" x14ac:dyDescent="0.2">
      <c r="A93" s="305">
        <v>604</v>
      </c>
      <c r="B93" s="319" t="s">
        <v>362</v>
      </c>
      <c r="C93" s="325">
        <v>0</v>
      </c>
    </row>
    <row r="94" spans="1:3" ht="14.1" customHeight="1" x14ac:dyDescent="0.2">
      <c r="A94" s="305">
        <v>605</v>
      </c>
      <c r="B94" s="319" t="s">
        <v>350</v>
      </c>
      <c r="C94" s="325">
        <v>0</v>
      </c>
    </row>
    <row r="95" spans="1:3" ht="14.1" customHeight="1" x14ac:dyDescent="0.2">
      <c r="A95" s="305">
        <v>606</v>
      </c>
      <c r="B95" s="319" t="s">
        <v>351</v>
      </c>
      <c r="C95" s="325">
        <v>0</v>
      </c>
    </row>
    <row r="96" spans="1:3" ht="14.1" customHeight="1" x14ac:dyDescent="0.2">
      <c r="A96" s="305">
        <v>607</v>
      </c>
      <c r="B96" s="320" t="s">
        <v>147</v>
      </c>
      <c r="C96" s="325">
        <v>0</v>
      </c>
    </row>
    <row r="97" spans="1:3" ht="14.1" customHeight="1" x14ac:dyDescent="0.2">
      <c r="A97" s="305">
        <v>608</v>
      </c>
      <c r="B97" s="323" t="s">
        <v>147</v>
      </c>
      <c r="C97" s="325">
        <v>0</v>
      </c>
    </row>
    <row r="98" spans="1:3" ht="14.1" customHeight="1" x14ac:dyDescent="0.2">
      <c r="A98" s="305">
        <v>609</v>
      </c>
      <c r="B98" s="322" t="s">
        <v>398</v>
      </c>
      <c r="C98" s="304">
        <v>0</v>
      </c>
    </row>
    <row r="99" spans="1:3" ht="14.1" customHeight="1" x14ac:dyDescent="0.2">
      <c r="A99" s="305">
        <v>610</v>
      </c>
      <c r="B99" s="307" t="s">
        <v>152</v>
      </c>
      <c r="C99" s="304">
        <v>0</v>
      </c>
    </row>
    <row r="100" spans="1:3" ht="14.1" customHeight="1" x14ac:dyDescent="0.2">
      <c r="B100" s="311" t="s">
        <v>154</v>
      </c>
      <c r="C100" s="123">
        <f>SUM(C12:C99)</f>
        <v>0</v>
      </c>
    </row>
    <row r="101" spans="1:3" ht="14.1" customHeight="1" x14ac:dyDescent="0.2">
      <c r="A101" s="306">
        <v>700</v>
      </c>
      <c r="B101" s="129" t="s">
        <v>156</v>
      </c>
      <c r="C101" s="131"/>
    </row>
    <row r="102" spans="1:3" ht="14.1" customHeight="1" x14ac:dyDescent="0.2">
      <c r="A102" s="329">
        <v>701</v>
      </c>
      <c r="B102" s="324" t="s">
        <v>289</v>
      </c>
      <c r="C102" s="321">
        <v>0</v>
      </c>
    </row>
    <row r="103" spans="1:3" ht="14.1" customHeight="1" x14ac:dyDescent="0.2">
      <c r="A103" s="329">
        <v>702</v>
      </c>
      <c r="B103" s="324" t="s">
        <v>159</v>
      </c>
      <c r="C103" s="321">
        <v>0</v>
      </c>
    </row>
    <row r="104" spans="1:3" ht="14.1" customHeight="1" x14ac:dyDescent="0.2">
      <c r="A104" s="329">
        <v>703</v>
      </c>
      <c r="B104" s="307" t="s">
        <v>161</v>
      </c>
      <c r="C104" s="321">
        <v>0</v>
      </c>
    </row>
    <row r="105" spans="1:3" ht="14.1" customHeight="1" x14ac:dyDescent="0.2">
      <c r="A105" s="326">
        <v>704</v>
      </c>
      <c r="B105" s="318" t="s">
        <v>164</v>
      </c>
      <c r="C105" s="138">
        <v>0</v>
      </c>
    </row>
    <row r="106" spans="1:3" ht="14.1" customHeight="1" x14ac:dyDescent="0.2">
      <c r="A106" s="326">
        <v>705</v>
      </c>
      <c r="B106" s="330" t="s">
        <v>397</v>
      </c>
      <c r="C106" s="138">
        <v>0</v>
      </c>
    </row>
    <row r="107" spans="1:3" ht="14.1" customHeight="1" x14ac:dyDescent="0.2">
      <c r="A107" s="326">
        <v>706</v>
      </c>
      <c r="B107" s="319" t="s">
        <v>355</v>
      </c>
      <c r="C107" s="138">
        <v>0</v>
      </c>
    </row>
    <row r="108" spans="1:3" ht="14.1" customHeight="1" x14ac:dyDescent="0.2">
      <c r="A108" s="326">
        <v>707</v>
      </c>
      <c r="B108" s="319" t="s">
        <v>166</v>
      </c>
      <c r="C108" s="138">
        <v>0</v>
      </c>
    </row>
    <row r="109" spans="1:3" ht="14.1" customHeight="1" x14ac:dyDescent="0.2">
      <c r="A109" s="326">
        <v>708</v>
      </c>
      <c r="B109" s="319" t="s">
        <v>169</v>
      </c>
      <c r="C109" s="138">
        <v>0</v>
      </c>
    </row>
    <row r="110" spans="1:3" ht="14.1" customHeight="1" x14ac:dyDescent="0.2">
      <c r="A110" s="326">
        <v>709</v>
      </c>
      <c r="B110" s="319" t="s">
        <v>171</v>
      </c>
      <c r="C110" s="138">
        <v>0</v>
      </c>
    </row>
    <row r="111" spans="1:3" ht="14.1" customHeight="1" x14ac:dyDescent="0.2">
      <c r="A111" s="326">
        <v>710</v>
      </c>
      <c r="B111" s="319" t="s">
        <v>353</v>
      </c>
      <c r="C111" s="138">
        <v>0</v>
      </c>
    </row>
    <row r="112" spans="1:3" ht="14.1" customHeight="1" x14ac:dyDescent="0.2">
      <c r="A112" s="326">
        <v>711</v>
      </c>
      <c r="B112" s="319" t="s">
        <v>354</v>
      </c>
      <c r="C112" s="138">
        <v>0</v>
      </c>
    </row>
    <row r="113" spans="1:3" ht="14.1" customHeight="1" x14ac:dyDescent="0.2">
      <c r="A113" s="326">
        <v>712</v>
      </c>
      <c r="B113" s="319" t="s">
        <v>173</v>
      </c>
      <c r="C113" s="138">
        <v>0</v>
      </c>
    </row>
    <row r="114" spans="1:3" ht="14.1" customHeight="1" x14ac:dyDescent="0.2">
      <c r="A114" s="326">
        <v>713</v>
      </c>
      <c r="B114" s="319" t="s">
        <v>175</v>
      </c>
      <c r="C114" s="138">
        <v>0</v>
      </c>
    </row>
    <row r="115" spans="1:3" ht="14.1" customHeight="1" x14ac:dyDescent="0.2">
      <c r="A115" s="326">
        <v>714</v>
      </c>
      <c r="B115" s="319" t="s">
        <v>378</v>
      </c>
      <c r="C115" s="138">
        <v>0</v>
      </c>
    </row>
    <row r="116" spans="1:3" ht="14.1" customHeight="1" x14ac:dyDescent="0.2">
      <c r="A116" s="326">
        <v>715</v>
      </c>
      <c r="B116" s="319" t="s">
        <v>288</v>
      </c>
      <c r="C116" s="138">
        <v>0</v>
      </c>
    </row>
    <row r="117" spans="1:3" ht="14.1" customHeight="1" x14ac:dyDescent="0.2">
      <c r="A117" s="326">
        <v>716</v>
      </c>
      <c r="B117" s="319" t="s">
        <v>178</v>
      </c>
      <c r="C117" s="138">
        <v>0</v>
      </c>
    </row>
    <row r="118" spans="1:3" ht="14.1" customHeight="1" x14ac:dyDescent="0.2">
      <c r="A118" s="326">
        <v>717</v>
      </c>
      <c r="B118" s="319" t="s">
        <v>180</v>
      </c>
      <c r="C118" s="138">
        <v>0</v>
      </c>
    </row>
    <row r="119" spans="1:3" ht="14.1" customHeight="1" x14ac:dyDescent="0.2">
      <c r="A119" s="326">
        <v>718</v>
      </c>
      <c r="B119" s="319" t="s">
        <v>182</v>
      </c>
      <c r="C119" s="138">
        <v>0</v>
      </c>
    </row>
    <row r="120" spans="1:3" ht="14.1" customHeight="1" x14ac:dyDescent="0.2">
      <c r="A120" s="326">
        <v>719</v>
      </c>
      <c r="B120" s="319" t="s">
        <v>184</v>
      </c>
      <c r="C120" s="138">
        <v>0</v>
      </c>
    </row>
    <row r="121" spans="1:3" ht="14.1" customHeight="1" x14ac:dyDescent="0.2">
      <c r="A121" s="326">
        <v>720</v>
      </c>
      <c r="B121" s="319" t="s">
        <v>186</v>
      </c>
      <c r="C121" s="138">
        <v>0</v>
      </c>
    </row>
    <row r="122" spans="1:3" ht="14.1" customHeight="1" x14ac:dyDescent="0.2">
      <c r="A122" s="326">
        <v>721</v>
      </c>
      <c r="B122" s="331" t="s">
        <v>311</v>
      </c>
      <c r="C122" s="138">
        <v>0</v>
      </c>
    </row>
    <row r="123" spans="1:3" ht="14.1" customHeight="1" x14ac:dyDescent="0.2">
      <c r="A123" s="326">
        <v>722</v>
      </c>
      <c r="B123" s="312" t="s">
        <v>356</v>
      </c>
      <c r="C123" s="138">
        <v>0</v>
      </c>
    </row>
    <row r="124" spans="1:3" ht="14.1" customHeight="1" x14ac:dyDescent="0.2">
      <c r="A124" s="326">
        <v>723</v>
      </c>
      <c r="B124" s="312" t="s">
        <v>403</v>
      </c>
      <c r="C124" s="138">
        <v>0</v>
      </c>
    </row>
    <row r="125" spans="1:3" ht="14.1" customHeight="1" x14ac:dyDescent="0.2">
      <c r="A125" s="326">
        <v>724</v>
      </c>
      <c r="B125" s="312" t="s">
        <v>403</v>
      </c>
      <c r="C125" s="138">
        <v>0</v>
      </c>
    </row>
    <row r="126" spans="1:3" ht="14.1" customHeight="1" x14ac:dyDescent="0.2">
      <c r="A126" s="326">
        <v>725</v>
      </c>
      <c r="B126" s="312" t="s">
        <v>403</v>
      </c>
      <c r="C126" s="138">
        <v>0</v>
      </c>
    </row>
    <row r="127" spans="1:3" ht="14.1" customHeight="1" thickBot="1" x14ac:dyDescent="0.25">
      <c r="A127" s="332"/>
      <c r="B127" s="333" t="s">
        <v>190</v>
      </c>
      <c r="C127" s="123">
        <f>SUM(C102:C126)</f>
        <v>0</v>
      </c>
    </row>
    <row r="128" spans="1:3" ht="14.1" customHeight="1" thickBot="1" x14ac:dyDescent="0.25">
      <c r="B128" s="334" t="s">
        <v>192</v>
      </c>
      <c r="C128" s="335">
        <f>SUM(C127:C127)+C100</f>
        <v>0</v>
      </c>
    </row>
    <row r="129" spans="2:3" ht="14.1" customHeight="1" x14ac:dyDescent="0.2"/>
    <row r="130" spans="2:3" ht="14.1" customHeight="1" x14ac:dyDescent="0.2">
      <c r="C130" s="49"/>
    </row>
    <row r="131" spans="2:3" ht="14.1" customHeight="1" x14ac:dyDescent="0.2">
      <c r="B131" s="169" t="s">
        <v>407</v>
      </c>
      <c r="C131" s="59"/>
    </row>
    <row r="132" spans="2:3" ht="14.1" customHeight="1" x14ac:dyDescent="0.2">
      <c r="C132" s="49"/>
    </row>
    <row r="133" spans="2:3" ht="14.1" customHeight="1" x14ac:dyDescent="0.2"/>
    <row r="134" spans="2:3" ht="14.1" customHeight="1" x14ac:dyDescent="0.2">
      <c r="B134" s="170" t="s">
        <v>204</v>
      </c>
      <c r="C134" s="170"/>
    </row>
    <row r="135" spans="2:3" ht="14.1" customHeight="1" x14ac:dyDescent="0.2">
      <c r="B135" s="314" t="s">
        <v>72</v>
      </c>
      <c r="C135" s="100"/>
    </row>
    <row r="136" spans="2:3" ht="14.1" customHeight="1" x14ac:dyDescent="0.2"/>
    <row r="137" spans="2:3" ht="14.1" customHeight="1" x14ac:dyDescent="0.2">
      <c r="B137" s="313" t="s">
        <v>409</v>
      </c>
      <c r="C137" s="172"/>
    </row>
    <row r="138" spans="2:3" ht="14.1" customHeight="1" x14ac:dyDescent="0.2">
      <c r="B138" s="174" t="s">
        <v>408</v>
      </c>
      <c r="C138" s="174"/>
    </row>
    <row r="139" spans="2:3" ht="14.1" customHeight="1" x14ac:dyDescent="0.2"/>
    <row r="140" spans="2:3" ht="14.1" customHeight="1" x14ac:dyDescent="0.2">
      <c r="B140" s="63"/>
      <c r="C140" s="63"/>
    </row>
    <row r="141" spans="2:3" ht="14.1" customHeight="1" x14ac:dyDescent="0.2">
      <c r="B141" s="63"/>
      <c r="C141" s="63"/>
    </row>
    <row r="142" spans="2:3" ht="14.1" customHeight="1" x14ac:dyDescent="0.2">
      <c r="B142" s="63"/>
      <c r="C142" s="63"/>
    </row>
    <row r="143" spans="2:3" ht="14.1" customHeight="1" x14ac:dyDescent="0.2">
      <c r="B143" s="63"/>
      <c r="C143" s="63"/>
    </row>
    <row r="144" spans="2:3" ht="14.1" customHeight="1" x14ac:dyDescent="0.2"/>
    <row r="145" spans="2:3" ht="14.1" customHeight="1" x14ac:dyDescent="0.2"/>
    <row r="146" spans="2:3" ht="14.1" customHeight="1" x14ac:dyDescent="0.2">
      <c r="B146" s="63"/>
      <c r="C146" s="63"/>
    </row>
    <row r="147" spans="2:3" ht="14.1" customHeight="1" x14ac:dyDescent="0.2">
      <c r="B147" s="63"/>
      <c r="C147" s="63"/>
    </row>
    <row r="148" spans="2:3" ht="14.1" customHeight="1" x14ac:dyDescent="0.2">
      <c r="B148" s="63"/>
      <c r="C148" s="63"/>
    </row>
    <row r="149" spans="2:3" ht="14.1" customHeight="1" x14ac:dyDescent="0.2">
      <c r="B149" s="63"/>
      <c r="C149" s="63"/>
    </row>
    <row r="150" spans="2:3" ht="14.1" customHeight="1" x14ac:dyDescent="0.2">
      <c r="B150" s="63"/>
      <c r="C150" s="63"/>
    </row>
    <row r="151" spans="2:3" ht="14.1" customHeight="1" x14ac:dyDescent="0.2">
      <c r="B151" s="63"/>
      <c r="C151" s="63"/>
    </row>
    <row r="152" spans="2:3" ht="14.1" customHeight="1" x14ac:dyDescent="0.2">
      <c r="B152" s="63"/>
      <c r="C152" s="63"/>
    </row>
    <row r="153" spans="2:3" ht="14.1" customHeight="1" x14ac:dyDescent="0.2">
      <c r="B153" s="63"/>
      <c r="C153" s="63"/>
    </row>
    <row r="154" spans="2:3" ht="14.1" customHeight="1" x14ac:dyDescent="0.2">
      <c r="B154" s="63"/>
      <c r="C154" s="63"/>
    </row>
    <row r="155" spans="2:3" ht="14.1" customHeight="1" x14ac:dyDescent="0.2">
      <c r="B155" s="63"/>
      <c r="C155" s="63"/>
    </row>
    <row r="156" spans="2:3" ht="14.1" customHeight="1" x14ac:dyDescent="0.2">
      <c r="B156" s="63"/>
      <c r="C156" s="63"/>
    </row>
    <row r="157" spans="2:3" ht="14.1" customHeight="1" x14ac:dyDescent="0.2">
      <c r="B157" s="63"/>
      <c r="C157" s="63"/>
    </row>
    <row r="158" spans="2:3" ht="14.1" customHeight="1" x14ac:dyDescent="0.2">
      <c r="B158" s="63"/>
      <c r="C158" s="63"/>
    </row>
    <row r="159" spans="2:3" ht="14.1" customHeight="1" x14ac:dyDescent="0.2">
      <c r="B159" s="63"/>
      <c r="C159" s="63"/>
    </row>
    <row r="160" spans="2:3" ht="14.1" customHeight="1" x14ac:dyDescent="0.2">
      <c r="B160" s="63"/>
      <c r="C160" s="63"/>
    </row>
    <row r="161" spans="2:3" ht="14.1" customHeight="1" x14ac:dyDescent="0.2">
      <c r="B161" s="63"/>
      <c r="C161" s="63"/>
    </row>
    <row r="162" spans="2:3" ht="14.1" customHeight="1" x14ac:dyDescent="0.2">
      <c r="B162" s="63"/>
      <c r="C162" s="63"/>
    </row>
    <row r="163" spans="2:3" ht="14.1" customHeight="1" x14ac:dyDescent="0.2"/>
    <row r="164" spans="2:3" ht="14.1" customHeight="1" x14ac:dyDescent="0.2"/>
    <row r="165" spans="2:3" ht="14.1" customHeight="1" x14ac:dyDescent="0.2"/>
    <row r="166" spans="2:3" ht="14.1" customHeight="1" x14ac:dyDescent="0.2"/>
    <row r="167" spans="2:3" ht="14.1" customHeight="1" x14ac:dyDescent="0.2"/>
    <row r="168" spans="2:3" ht="14.1" customHeight="1" x14ac:dyDescent="0.2"/>
    <row r="169" spans="2:3" ht="14.1" customHeight="1" x14ac:dyDescent="0.2"/>
    <row r="170" spans="2:3" ht="14.1" customHeight="1" x14ac:dyDescent="0.2"/>
    <row r="171" spans="2:3" ht="14.1" customHeight="1" x14ac:dyDescent="0.2"/>
    <row r="172" spans="2:3" ht="14.1" customHeight="1" x14ac:dyDescent="0.2"/>
    <row r="173" spans="2:3" ht="14.1" customHeight="1" x14ac:dyDescent="0.2"/>
    <row r="174" spans="2:3" ht="14.1" customHeight="1" x14ac:dyDescent="0.2"/>
    <row r="175" spans="2:3" ht="14.1" customHeight="1" x14ac:dyDescent="0.2"/>
    <row r="176" spans="2:3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</sheetData>
  <phoneticPr fontId="2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1B64-9043-4CE0-858B-163219E8838B}">
  <dimension ref="A1:P18"/>
  <sheetViews>
    <sheetView workbookViewId="0">
      <selection activeCell="N17" sqref="N17"/>
    </sheetView>
  </sheetViews>
  <sheetFormatPr defaultColWidth="8.85546875" defaultRowHeight="15" x14ac:dyDescent="0.25"/>
  <sheetData>
    <row r="1" spans="1:16" x14ac:dyDescent="0.25">
      <c r="A1" t="s">
        <v>11</v>
      </c>
      <c r="C1" t="s">
        <v>14</v>
      </c>
      <c r="E1" t="s">
        <v>251</v>
      </c>
      <c r="H1" t="s">
        <v>222</v>
      </c>
      <c r="K1" t="s">
        <v>226</v>
      </c>
      <c r="N1" t="s">
        <v>231</v>
      </c>
      <c r="P1" t="s">
        <v>72</v>
      </c>
    </row>
    <row r="2" spans="1:16" x14ac:dyDescent="0.25">
      <c r="A2" t="s">
        <v>33</v>
      </c>
      <c r="C2" t="s">
        <v>33</v>
      </c>
      <c r="E2" t="s">
        <v>76</v>
      </c>
      <c r="H2" t="s">
        <v>281</v>
      </c>
      <c r="K2" t="s">
        <v>227</v>
      </c>
      <c r="N2" t="s">
        <v>76</v>
      </c>
      <c r="P2" t="s">
        <v>53</v>
      </c>
    </row>
    <row r="3" spans="1:16" x14ac:dyDescent="0.25">
      <c r="A3" t="s">
        <v>12</v>
      </c>
      <c r="C3" t="s">
        <v>15</v>
      </c>
      <c r="E3" t="s">
        <v>252</v>
      </c>
      <c r="H3" t="s">
        <v>282</v>
      </c>
      <c r="K3" t="s">
        <v>228</v>
      </c>
      <c r="N3" t="s">
        <v>254</v>
      </c>
    </row>
    <row r="4" spans="1:16" x14ac:dyDescent="0.25">
      <c r="A4" t="s">
        <v>13</v>
      </c>
      <c r="C4" t="s">
        <v>16</v>
      </c>
      <c r="E4" t="s">
        <v>253</v>
      </c>
      <c r="H4" t="s">
        <v>223</v>
      </c>
      <c r="K4" t="s">
        <v>229</v>
      </c>
    </row>
    <row r="5" spans="1:16" x14ac:dyDescent="0.25">
      <c r="A5" t="s">
        <v>265</v>
      </c>
      <c r="E5" t="s">
        <v>254</v>
      </c>
      <c r="H5" t="s">
        <v>224</v>
      </c>
      <c r="K5" t="s">
        <v>230</v>
      </c>
    </row>
    <row r="6" spans="1:16" x14ac:dyDescent="0.25">
      <c r="K6" t="s">
        <v>232</v>
      </c>
    </row>
    <row r="7" spans="1:16" x14ac:dyDescent="0.25">
      <c r="K7" t="s">
        <v>245</v>
      </c>
    </row>
    <row r="11" spans="1:16" x14ac:dyDescent="0.25">
      <c r="A11" t="s">
        <v>258</v>
      </c>
    </row>
    <row r="13" spans="1:16" x14ac:dyDescent="0.25">
      <c r="A13" t="s">
        <v>259</v>
      </c>
    </row>
    <row r="14" spans="1:16" x14ac:dyDescent="0.25">
      <c r="A14" t="s">
        <v>264</v>
      </c>
    </row>
    <row r="15" spans="1:16" x14ac:dyDescent="0.25">
      <c r="A15" t="s">
        <v>260</v>
      </c>
    </row>
    <row r="16" spans="1:16" x14ac:dyDescent="0.25">
      <c r="A16" t="s">
        <v>261</v>
      </c>
    </row>
    <row r="17" spans="1:1" x14ac:dyDescent="0.25">
      <c r="A17" t="s">
        <v>263</v>
      </c>
    </row>
    <row r="18" spans="1:1" x14ac:dyDescent="0.25">
      <c r="A18" t="s">
        <v>262</v>
      </c>
    </row>
  </sheetData>
  <customSheetViews>
    <customSheetView guid="{EBDC4E83-090A-4517-8038-A829E1104B47}" showPageBreaks="1" state="hidden">
      <selection activeCell="G9" sqref="G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763F-30A2-427A-95BF-305546A709B2}">
  <dimension ref="A1:Z187"/>
  <sheetViews>
    <sheetView topLeftCell="A7" zoomScale="120" zoomScaleNormal="120" workbookViewId="0">
      <selection activeCell="K52" sqref="K52"/>
    </sheetView>
  </sheetViews>
  <sheetFormatPr defaultColWidth="8.85546875" defaultRowHeight="12" outlineLevelCol="1" x14ac:dyDescent="0.2"/>
  <cols>
    <col min="1" max="1" width="54.28515625" style="49" customWidth="1"/>
    <col min="2" max="2" width="8.28515625" style="49" customWidth="1"/>
    <col min="3" max="3" width="10.28515625" style="51" customWidth="1"/>
    <col min="4" max="4" width="9.7109375" style="166" customWidth="1"/>
    <col min="5" max="7" width="9.7109375" style="51" customWidth="1"/>
    <col min="8" max="8" width="9.7109375" style="167" customWidth="1"/>
    <col min="9" max="9" width="6" style="49" customWidth="1"/>
    <col min="10" max="10" width="26" style="49" customWidth="1"/>
    <col min="11" max="11" width="11" style="49" customWidth="1"/>
    <col min="12" max="12" width="12.7109375" style="49" bestFit="1" customWidth="1"/>
    <col min="13" max="13" width="14.28515625" style="49" customWidth="1"/>
    <col min="14" max="14" width="12.28515625" style="49" customWidth="1"/>
    <col min="15" max="15" width="11.85546875" style="54" customWidth="1"/>
    <col min="16" max="16" width="8" style="49" customWidth="1"/>
    <col min="17" max="17" width="18" style="49" customWidth="1"/>
    <col min="18" max="18" width="12" style="167" bestFit="1" customWidth="1"/>
    <col min="19" max="19" width="8.85546875" style="49" customWidth="1"/>
    <col min="20" max="20" width="21.7109375" style="49" customWidth="1" outlineLevel="1"/>
    <col min="21" max="22" width="8.85546875" style="49" customWidth="1" outlineLevel="1"/>
    <col min="23" max="23" width="9.85546875" style="49" customWidth="1" outlineLevel="1"/>
    <col min="24" max="26" width="8.85546875" style="49" customWidth="1" outlineLevel="1"/>
    <col min="27" max="16384" width="8.85546875" style="49"/>
  </cols>
  <sheetData>
    <row r="1" spans="1:17" ht="22.15" customHeight="1" thickBot="1" x14ac:dyDescent="0.3">
      <c r="A1" s="282" t="s">
        <v>87</v>
      </c>
      <c r="B1" s="43"/>
      <c r="C1" s="44" t="s">
        <v>383</v>
      </c>
      <c r="D1" s="45"/>
      <c r="E1" s="43"/>
      <c r="F1" s="43"/>
      <c r="G1" s="43"/>
      <c r="H1" s="46"/>
      <c r="I1" s="47"/>
      <c r="J1" s="43"/>
      <c r="K1" s="43"/>
      <c r="L1" s="43"/>
      <c r="M1" s="43"/>
      <c r="N1" s="43"/>
      <c r="O1" s="48"/>
    </row>
    <row r="2" spans="1:17" ht="11.1" customHeight="1" x14ac:dyDescent="0.2">
      <c r="A2" s="50"/>
      <c r="D2" s="52"/>
      <c r="E2" s="49"/>
      <c r="F2" s="49"/>
      <c r="G2" s="49"/>
      <c r="H2" s="53"/>
      <c r="I2" s="51"/>
    </row>
    <row r="3" spans="1:17" ht="14.1" customHeight="1" x14ac:dyDescent="0.2">
      <c r="A3" s="60" t="s">
        <v>88</v>
      </c>
      <c r="B3" s="426"/>
      <c r="C3" s="426"/>
      <c r="D3" s="426"/>
      <c r="E3" s="426"/>
      <c r="F3" s="426"/>
      <c r="G3" s="426"/>
      <c r="H3" s="426"/>
      <c r="I3" s="51"/>
      <c r="J3" s="55" t="s">
        <v>89</v>
      </c>
      <c r="K3" s="56">
        <f>K58</f>
        <v>1600</v>
      </c>
      <c r="M3" s="60" t="s">
        <v>94</v>
      </c>
      <c r="N3" s="427"/>
      <c r="O3" s="427"/>
    </row>
    <row r="4" spans="1:17" ht="14.1" customHeight="1" x14ac:dyDescent="0.2">
      <c r="A4" s="60" t="s">
        <v>244</v>
      </c>
      <c r="B4" s="426"/>
      <c r="C4" s="426"/>
      <c r="D4" s="426"/>
      <c r="E4" s="426"/>
      <c r="F4" s="426"/>
      <c r="G4" s="426"/>
      <c r="H4" s="426"/>
      <c r="I4" s="51"/>
      <c r="J4" s="55" t="s">
        <v>91</v>
      </c>
      <c r="K4" s="57">
        <f>COUNT(K46:K57)</f>
        <v>1</v>
      </c>
      <c r="L4" s="58"/>
      <c r="M4" s="301" t="s">
        <v>268</v>
      </c>
      <c r="N4" s="428"/>
      <c r="O4" s="428"/>
    </row>
    <row r="5" spans="1:17" ht="14.1" customHeight="1" x14ac:dyDescent="0.2">
      <c r="A5" s="60" t="s">
        <v>90</v>
      </c>
      <c r="B5" s="426"/>
      <c r="C5" s="426"/>
      <c r="D5" s="426"/>
      <c r="E5" s="426"/>
      <c r="F5" s="426"/>
      <c r="G5" s="426"/>
      <c r="H5" s="426"/>
      <c r="I5" s="51"/>
      <c r="J5" s="59" t="s">
        <v>93</v>
      </c>
      <c r="K5" s="427"/>
      <c r="L5" s="427"/>
      <c r="M5" s="301" t="s">
        <v>269</v>
      </c>
      <c r="N5" s="428"/>
      <c r="O5" s="428"/>
    </row>
    <row r="6" spans="1:17" ht="14.1" customHeight="1" x14ac:dyDescent="0.2">
      <c r="A6" s="60" t="s">
        <v>92</v>
      </c>
      <c r="B6" s="432"/>
      <c r="C6" s="432"/>
      <c r="D6" s="432"/>
      <c r="E6" s="432"/>
      <c r="F6" s="433"/>
      <c r="G6" s="433"/>
      <c r="H6" s="432"/>
      <c r="I6" s="51"/>
      <c r="J6" s="49" t="s">
        <v>95</v>
      </c>
      <c r="K6" s="434"/>
      <c r="L6" s="434"/>
      <c r="M6" s="60" t="s">
        <v>270</v>
      </c>
      <c r="N6" s="427"/>
      <c r="O6" s="427"/>
    </row>
    <row r="7" spans="1:17" ht="14.1" customHeight="1" x14ac:dyDescent="0.2">
      <c r="A7" s="51"/>
      <c r="B7" s="61"/>
      <c r="C7" s="61"/>
      <c r="D7" s="61"/>
      <c r="E7" s="61"/>
      <c r="F7" s="61"/>
      <c r="G7" s="61"/>
      <c r="H7" s="62"/>
      <c r="I7" s="51"/>
      <c r="J7" s="51"/>
      <c r="K7" s="61"/>
      <c r="L7" s="61"/>
      <c r="M7" s="61"/>
      <c r="N7" s="61"/>
      <c r="O7" s="61"/>
      <c r="Q7" s="217"/>
    </row>
    <row r="8" spans="1:17" ht="14.1" customHeight="1" thickBot="1" x14ac:dyDescent="0.25">
      <c r="A8" s="43"/>
      <c r="B8" s="43"/>
      <c r="C8" s="216"/>
      <c r="D8" s="269"/>
      <c r="E8" s="216"/>
      <c r="F8" s="216"/>
      <c r="G8" s="216"/>
      <c r="H8" s="53"/>
      <c r="I8" s="51"/>
      <c r="Q8" s="217"/>
    </row>
    <row r="9" spans="1:17" ht="24.75" thickBot="1" x14ac:dyDescent="0.25">
      <c r="A9" s="201" t="s">
        <v>96</v>
      </c>
      <c r="B9" s="202"/>
      <c r="C9" s="271" t="s">
        <v>382</v>
      </c>
      <c r="D9" s="272" t="s">
        <v>98</v>
      </c>
      <c r="E9" s="273" t="s">
        <v>99</v>
      </c>
      <c r="F9" s="273" t="s">
        <v>292</v>
      </c>
      <c r="G9" s="273" t="s">
        <v>369</v>
      </c>
      <c r="H9" s="274" t="s">
        <v>100</v>
      </c>
      <c r="I9" s="63"/>
      <c r="J9" s="435" t="s">
        <v>101</v>
      </c>
      <c r="K9" s="435"/>
      <c r="L9" s="435"/>
      <c r="M9" s="435"/>
      <c r="N9" s="435"/>
      <c r="O9" s="435"/>
      <c r="Q9" s="289"/>
    </row>
    <row r="10" spans="1:17" ht="14.1" customHeight="1" x14ac:dyDescent="0.2">
      <c r="A10" s="64" t="s">
        <v>102</v>
      </c>
      <c r="B10" s="64"/>
      <c r="C10" s="270"/>
      <c r="D10" s="270"/>
      <c r="E10" s="270"/>
      <c r="F10" s="270"/>
      <c r="G10" s="270"/>
      <c r="H10" s="65"/>
      <c r="I10" s="63"/>
      <c r="Q10" s="217"/>
    </row>
    <row r="11" spans="1:17" ht="14.1" customHeight="1" x14ac:dyDescent="0.2">
      <c r="A11" s="252" t="s">
        <v>293</v>
      </c>
      <c r="B11" s="253"/>
      <c r="C11" s="253"/>
      <c r="D11" s="253"/>
      <c r="E11" s="253"/>
      <c r="F11" s="253"/>
      <c r="G11" s="253"/>
      <c r="H11" s="254"/>
      <c r="I11" s="63"/>
      <c r="J11" s="70" t="s">
        <v>103</v>
      </c>
      <c r="K11" s="295">
        <f>(C22+C29+C33+C31+C30+C32+C23+C24+C25+C26+C34+C35+C36+C37+C38+C27)/K4</f>
        <v>69500</v>
      </c>
      <c r="L11" s="72" t="s">
        <v>104</v>
      </c>
      <c r="M11" s="73">
        <f>(M14+M15+M16+C93)/K4</f>
        <v>215000</v>
      </c>
      <c r="N11" s="74" t="s">
        <v>105</v>
      </c>
      <c r="O11" s="71">
        <f>SUM(M14:M16)</f>
        <v>215000</v>
      </c>
      <c r="Q11" s="217"/>
    </row>
    <row r="12" spans="1:17" ht="14.1" customHeight="1" x14ac:dyDescent="0.2">
      <c r="A12" s="436" t="s">
        <v>294</v>
      </c>
      <c r="B12" s="436"/>
      <c r="C12" s="66">
        <f>K4*15000</f>
        <v>15000</v>
      </c>
      <c r="D12" s="67">
        <f>C12/$K$3</f>
        <v>9.375</v>
      </c>
      <c r="E12" s="68">
        <f>C12/$K$4</f>
        <v>15000</v>
      </c>
      <c r="F12" s="279"/>
      <c r="G12" s="68"/>
      <c r="H12" s="67"/>
      <c r="I12" s="63"/>
      <c r="Q12" s="217"/>
    </row>
    <row r="13" spans="1:17" ht="14.1" customHeight="1" x14ac:dyDescent="0.2">
      <c r="A13" s="431" t="s">
        <v>295</v>
      </c>
      <c r="B13" s="431"/>
      <c r="C13" s="66">
        <f>K4*4000</f>
        <v>4000</v>
      </c>
      <c r="D13" s="67">
        <f>C13/$K$3</f>
        <v>2.5</v>
      </c>
      <c r="E13" s="68">
        <f>C13/$K$4</f>
        <v>4000</v>
      </c>
      <c r="F13" s="279"/>
      <c r="G13" s="68"/>
      <c r="H13" s="69"/>
      <c r="I13" s="63"/>
      <c r="J13" s="75" t="s">
        <v>106</v>
      </c>
      <c r="K13" s="75"/>
      <c r="L13" s="75"/>
      <c r="M13" s="76" t="s">
        <v>107</v>
      </c>
      <c r="N13" s="76" t="s">
        <v>108</v>
      </c>
      <c r="O13" s="76"/>
      <c r="Q13" s="217"/>
    </row>
    <row r="14" spans="1:17" ht="14.1" customHeight="1" x14ac:dyDescent="0.2">
      <c r="A14" s="429" t="s">
        <v>373</v>
      </c>
      <c r="B14" s="430"/>
      <c r="C14" s="66">
        <f>K4*1000</f>
        <v>1000</v>
      </c>
      <c r="D14" s="67">
        <f t="shared" ref="D14:D78" si="0">C14/$K$3</f>
        <v>0.625</v>
      </c>
      <c r="E14" s="68">
        <f t="shared" ref="E14:E63" si="1">C14/$K$4</f>
        <v>1000</v>
      </c>
      <c r="F14" s="279"/>
      <c r="G14" s="68"/>
      <c r="H14" s="250"/>
      <c r="I14" s="63"/>
      <c r="J14" s="77" t="s">
        <v>109</v>
      </c>
      <c r="K14" s="77"/>
      <c r="L14" s="77"/>
      <c r="M14" s="78">
        <v>200000</v>
      </c>
      <c r="N14" s="79">
        <f>M14/$K$4</f>
        <v>200000</v>
      </c>
      <c r="Q14" s="217"/>
    </row>
    <row r="15" spans="1:17" ht="14.1" customHeight="1" x14ac:dyDescent="0.2">
      <c r="A15" s="429" t="s">
        <v>357</v>
      </c>
      <c r="B15" s="430"/>
      <c r="C15" s="66">
        <f>K4*500</f>
        <v>500</v>
      </c>
      <c r="D15" s="67">
        <f t="shared" si="0"/>
        <v>0.3125</v>
      </c>
      <c r="E15" s="68">
        <f t="shared" si="1"/>
        <v>500</v>
      </c>
      <c r="F15" s="279"/>
      <c r="G15" s="68"/>
      <c r="H15" s="250"/>
      <c r="I15" s="63"/>
      <c r="J15" s="80" t="s">
        <v>111</v>
      </c>
      <c r="K15" s="80"/>
      <c r="L15" s="80"/>
      <c r="M15" s="78">
        <v>15000</v>
      </c>
      <c r="N15" s="79">
        <f>M15/$K$4</f>
        <v>15000</v>
      </c>
      <c r="Q15" s="217"/>
    </row>
    <row r="16" spans="1:17" ht="14.1" customHeight="1" x14ac:dyDescent="0.2">
      <c r="A16" s="431" t="s">
        <v>381</v>
      </c>
      <c r="B16" s="431"/>
      <c r="C16" s="66">
        <f>K4*250</f>
        <v>250</v>
      </c>
      <c r="D16" s="67">
        <f t="shared" si="0"/>
        <v>0.15625</v>
      </c>
      <c r="E16" s="68">
        <f t="shared" si="1"/>
        <v>250</v>
      </c>
      <c r="F16" s="279"/>
      <c r="G16" s="68"/>
      <c r="H16" s="250"/>
      <c r="I16" s="63"/>
      <c r="J16" s="49" t="s">
        <v>112</v>
      </c>
      <c r="L16" s="81">
        <v>0</v>
      </c>
      <c r="M16" s="78">
        <f>M14*L16</f>
        <v>0</v>
      </c>
      <c r="N16" s="79">
        <f>M16/$K$4</f>
        <v>0</v>
      </c>
      <c r="O16" s="82"/>
      <c r="Q16" s="217"/>
    </row>
    <row r="17" spans="1:25" ht="14.1" customHeight="1" x14ac:dyDescent="0.2">
      <c r="A17" s="431" t="s">
        <v>374</v>
      </c>
      <c r="B17" s="431"/>
      <c r="C17" s="66"/>
      <c r="D17" s="67">
        <f t="shared" si="0"/>
        <v>0</v>
      </c>
      <c r="E17" s="68">
        <f t="shared" si="1"/>
        <v>0</v>
      </c>
      <c r="F17" s="279"/>
      <c r="G17" s="68"/>
      <c r="H17" s="250"/>
      <c r="I17" s="63"/>
      <c r="J17" s="49" t="s">
        <v>290</v>
      </c>
      <c r="L17" s="81">
        <v>0</v>
      </c>
      <c r="M17" s="78">
        <f>M14*L17</f>
        <v>0</v>
      </c>
      <c r="Q17" s="217"/>
    </row>
    <row r="18" spans="1:25" ht="14.1" customHeight="1" thickBot="1" x14ac:dyDescent="0.25">
      <c r="A18" s="429" t="s">
        <v>297</v>
      </c>
      <c r="B18" s="430"/>
      <c r="C18" s="66"/>
      <c r="D18" s="67">
        <f t="shared" si="0"/>
        <v>0</v>
      </c>
      <c r="E18" s="68">
        <f t="shared" si="1"/>
        <v>0</v>
      </c>
      <c r="F18" s="279"/>
      <c r="G18" s="68"/>
      <c r="H18" s="250"/>
      <c r="I18" s="63"/>
      <c r="J18" s="83" t="s">
        <v>113</v>
      </c>
      <c r="K18" s="83"/>
      <c r="L18" s="83"/>
      <c r="M18" s="84">
        <f>C119</f>
        <v>436363.99711999996</v>
      </c>
      <c r="N18" s="85">
        <f>M18/$K$4</f>
        <v>436363.99711999996</v>
      </c>
      <c r="O18" s="86"/>
      <c r="Q18" s="217"/>
      <c r="T18" s="76" t="s">
        <v>379</v>
      </c>
    </row>
    <row r="19" spans="1:25" ht="14.1" customHeight="1" thickTop="1" x14ac:dyDescent="0.2">
      <c r="A19" s="429" t="s">
        <v>303</v>
      </c>
      <c r="B19" s="430"/>
      <c r="C19" s="243">
        <f>K4*750</f>
        <v>750</v>
      </c>
      <c r="D19" s="67">
        <f t="shared" si="0"/>
        <v>0.46875</v>
      </c>
      <c r="E19" s="68">
        <f t="shared" si="1"/>
        <v>750</v>
      </c>
      <c r="F19" s="279"/>
      <c r="G19" s="68"/>
      <c r="H19" s="250"/>
      <c r="I19" s="63"/>
      <c r="J19" s="49" t="s">
        <v>114</v>
      </c>
      <c r="M19" s="87">
        <f>SUM(M14:M18)</f>
        <v>651363.99711999996</v>
      </c>
      <c r="N19" s="79">
        <f>M19/$K$4</f>
        <v>651363.99711999996</v>
      </c>
      <c r="Q19" s="217"/>
    </row>
    <row r="20" spans="1:25" ht="14.1" customHeight="1" x14ac:dyDescent="0.2">
      <c r="A20" s="429" t="s">
        <v>331</v>
      </c>
      <c r="B20" s="430"/>
      <c r="C20" s="243">
        <f>K4*750</f>
        <v>750</v>
      </c>
      <c r="D20" s="250">
        <f t="shared" si="0"/>
        <v>0.46875</v>
      </c>
      <c r="E20" s="203">
        <f t="shared" si="1"/>
        <v>750</v>
      </c>
      <c r="F20" s="280"/>
      <c r="G20" s="203"/>
      <c r="H20" s="250"/>
      <c r="I20" s="63"/>
      <c r="J20" s="63"/>
      <c r="K20" s="63"/>
      <c r="L20" s="63"/>
      <c r="M20" s="63"/>
      <c r="Q20" s="217"/>
      <c r="T20" s="75" t="s">
        <v>115</v>
      </c>
      <c r="U20" s="88"/>
      <c r="V20" s="88"/>
      <c r="W20" s="88"/>
      <c r="X20" s="88"/>
      <c r="Y20" s="89"/>
    </row>
    <row r="21" spans="1:25" ht="14.1" customHeight="1" x14ac:dyDescent="0.2">
      <c r="A21" s="255" t="s">
        <v>302</v>
      </c>
      <c r="B21" s="258"/>
      <c r="C21" s="259"/>
      <c r="D21" s="260"/>
      <c r="E21" s="261"/>
      <c r="F21" s="261"/>
      <c r="G21" s="261"/>
      <c r="H21" s="262"/>
      <c r="I21" s="63"/>
      <c r="J21" s="75" t="s">
        <v>384</v>
      </c>
      <c r="K21" s="88"/>
      <c r="L21" s="88"/>
      <c r="M21" s="88"/>
      <c r="N21" s="88"/>
      <c r="O21" s="89"/>
      <c r="Q21" s="217"/>
      <c r="T21" s="49" t="s">
        <v>117</v>
      </c>
      <c r="V21" s="290">
        <v>0.75</v>
      </c>
      <c r="W21" s="90">
        <f>(M14+M15+M16)*V21</f>
        <v>161250</v>
      </c>
      <c r="X21" s="91" t="s">
        <v>118</v>
      </c>
      <c r="Y21" s="92">
        <f>M22/(M14+M15+M16)</f>
        <v>0.75</v>
      </c>
    </row>
    <row r="22" spans="1:25" ht="14.1" customHeight="1" x14ac:dyDescent="0.2">
      <c r="A22" s="436" t="s">
        <v>360</v>
      </c>
      <c r="B22" s="436"/>
      <c r="C22" s="66">
        <v>22000</v>
      </c>
      <c r="D22" s="67">
        <f t="shared" si="0"/>
        <v>13.75</v>
      </c>
      <c r="E22" s="68">
        <f t="shared" si="1"/>
        <v>22000</v>
      </c>
      <c r="F22" s="279"/>
      <c r="G22" s="68"/>
      <c r="H22" s="67"/>
      <c r="I22" s="63"/>
      <c r="J22" s="49" t="s">
        <v>117</v>
      </c>
      <c r="L22" s="241">
        <v>0.75</v>
      </c>
      <c r="M22" s="90">
        <f>(M14+M15+M16)*L22</f>
        <v>161250</v>
      </c>
      <c r="N22" s="91" t="s">
        <v>118</v>
      </c>
      <c r="O22" s="92">
        <f>M22/(M14+M15+M16)</f>
        <v>0.75</v>
      </c>
      <c r="Q22" s="217"/>
      <c r="T22" s="49" t="s">
        <v>119</v>
      </c>
      <c r="W22" s="286">
        <v>5000</v>
      </c>
      <c r="X22" s="54"/>
      <c r="Y22" s="54"/>
    </row>
    <row r="23" spans="1:25" ht="14.1" customHeight="1" x14ac:dyDescent="0.2">
      <c r="A23" s="438" t="s">
        <v>304</v>
      </c>
      <c r="B23" s="439"/>
      <c r="C23" s="66">
        <v>500</v>
      </c>
      <c r="D23" s="67">
        <f t="shared" si="0"/>
        <v>0.3125</v>
      </c>
      <c r="E23" s="68">
        <f t="shared" si="1"/>
        <v>500</v>
      </c>
      <c r="F23" s="279"/>
      <c r="G23" s="68"/>
      <c r="H23" s="250"/>
      <c r="I23" s="63"/>
      <c r="J23" s="49" t="s">
        <v>394</v>
      </c>
      <c r="L23" s="241">
        <v>0.75</v>
      </c>
      <c r="M23" s="90">
        <f>(C94+C97+C98+C99+C100+C101+C102+C103+C104+C105+C107+C108+C110+C111+C113)*L23</f>
        <v>35792.369062500002</v>
      </c>
      <c r="N23" s="91"/>
      <c r="O23" s="92"/>
      <c r="Q23" s="217"/>
      <c r="T23" s="49" t="s">
        <v>120</v>
      </c>
      <c r="V23" s="291">
        <v>0.02</v>
      </c>
      <c r="W23" s="90">
        <f>V23*W21</f>
        <v>3225</v>
      </c>
      <c r="X23" s="54"/>
      <c r="Y23" s="54"/>
    </row>
    <row r="24" spans="1:25" ht="14.1" customHeight="1" thickBot="1" x14ac:dyDescent="0.25">
      <c r="A24" s="438" t="s">
        <v>305</v>
      </c>
      <c r="B24" s="439"/>
      <c r="C24" s="66">
        <v>1500</v>
      </c>
      <c r="D24" s="67">
        <f t="shared" si="0"/>
        <v>0.9375</v>
      </c>
      <c r="E24" s="68">
        <f t="shared" si="1"/>
        <v>1500</v>
      </c>
      <c r="F24" s="279"/>
      <c r="G24" s="68"/>
      <c r="H24" s="250"/>
      <c r="I24" s="63"/>
      <c r="J24" s="49" t="s">
        <v>119</v>
      </c>
      <c r="M24" s="93">
        <v>8500</v>
      </c>
      <c r="N24" s="54"/>
      <c r="Q24" s="217"/>
      <c r="T24" s="83" t="s">
        <v>121</v>
      </c>
      <c r="U24" s="293">
        <v>9</v>
      </c>
      <c r="V24" s="292">
        <v>0.1</v>
      </c>
      <c r="W24" s="84">
        <f>((V24*W21))/12*U24</f>
        <v>12093.75</v>
      </c>
      <c r="X24" s="54"/>
      <c r="Y24" s="54"/>
    </row>
    <row r="25" spans="1:25" ht="14.1" customHeight="1" thickTop="1" x14ac:dyDescent="0.2">
      <c r="A25" s="438" t="s">
        <v>306</v>
      </c>
      <c r="B25" s="439"/>
      <c r="C25" s="243">
        <v>1000</v>
      </c>
      <c r="D25" s="250">
        <f t="shared" si="0"/>
        <v>0.625</v>
      </c>
      <c r="E25" s="203">
        <f t="shared" si="1"/>
        <v>1000</v>
      </c>
      <c r="F25" s="280"/>
      <c r="G25" s="203"/>
      <c r="H25" s="250"/>
      <c r="I25" s="63"/>
      <c r="J25" s="49" t="s">
        <v>386</v>
      </c>
      <c r="L25" s="81">
        <v>0.02</v>
      </c>
      <c r="M25" s="90">
        <f>L25*(M22+M23+M26+M24)</f>
        <v>4406.4109348437505</v>
      </c>
      <c r="N25" s="54"/>
      <c r="Q25" s="217"/>
      <c r="T25" s="49" t="s">
        <v>122</v>
      </c>
      <c r="U25" s="96"/>
      <c r="W25" s="87">
        <f>SUM(W22:W24)</f>
        <v>20318.75</v>
      </c>
      <c r="X25" s="54"/>
      <c r="Y25" s="54"/>
    </row>
    <row r="26" spans="1:25" ht="14.1" customHeight="1" thickBot="1" x14ac:dyDescent="0.25">
      <c r="A26" s="429" t="s">
        <v>372</v>
      </c>
      <c r="B26" s="430"/>
      <c r="C26" s="243"/>
      <c r="D26" s="250">
        <f t="shared" si="0"/>
        <v>0</v>
      </c>
      <c r="E26" s="203">
        <f t="shared" si="1"/>
        <v>0</v>
      </c>
      <c r="F26" s="280"/>
      <c r="G26" s="203"/>
      <c r="H26" s="250"/>
      <c r="I26" s="63"/>
      <c r="J26" s="83" t="s">
        <v>387</v>
      </c>
      <c r="K26" s="94">
        <v>9</v>
      </c>
      <c r="L26" s="95">
        <v>0.1</v>
      </c>
      <c r="M26" s="84">
        <f>((L26*(M22+M23)))/12*K26</f>
        <v>14778.177679687502</v>
      </c>
      <c r="N26" s="54"/>
      <c r="Q26" s="217"/>
    </row>
    <row r="27" spans="1:25" ht="14.1" customHeight="1" thickTop="1" x14ac:dyDescent="0.2">
      <c r="A27" s="437" t="s">
        <v>375</v>
      </c>
      <c r="B27" s="437"/>
      <c r="C27" s="243"/>
      <c r="D27" s="250">
        <f t="shared" si="0"/>
        <v>0</v>
      </c>
      <c r="E27" s="203">
        <f t="shared" si="1"/>
        <v>0</v>
      </c>
      <c r="F27" s="280"/>
      <c r="G27" s="203"/>
      <c r="H27" s="250"/>
      <c r="I27" s="63"/>
      <c r="J27" s="49" t="s">
        <v>389</v>
      </c>
      <c r="K27" s="96"/>
      <c r="M27" s="87">
        <f>SUM(M24:M26)</f>
        <v>27684.588614531254</v>
      </c>
      <c r="N27" s="54"/>
      <c r="Q27" s="217"/>
    </row>
    <row r="28" spans="1:25" ht="14.1" customHeight="1" x14ac:dyDescent="0.2">
      <c r="A28" s="255" t="s">
        <v>307</v>
      </c>
      <c r="B28" s="258"/>
      <c r="C28" s="259"/>
      <c r="D28" s="260"/>
      <c r="E28" s="261"/>
      <c r="F28" s="261"/>
      <c r="G28" s="261"/>
      <c r="H28" s="262"/>
      <c r="I28" s="63"/>
      <c r="Q28" s="217"/>
      <c r="T28" s="75" t="s">
        <v>123</v>
      </c>
      <c r="U28" s="97"/>
      <c r="V28" s="88"/>
      <c r="W28" s="88"/>
      <c r="X28" s="89"/>
      <c r="Y28" s="89"/>
    </row>
    <row r="29" spans="1:25" ht="14.1" customHeight="1" x14ac:dyDescent="0.2">
      <c r="A29" s="429" t="s">
        <v>308</v>
      </c>
      <c r="B29" s="430"/>
      <c r="C29" s="66">
        <f>K4*12000</f>
        <v>12000</v>
      </c>
      <c r="D29" s="67">
        <f t="shared" si="0"/>
        <v>7.5</v>
      </c>
      <c r="E29" s="68">
        <f t="shared" si="1"/>
        <v>12000</v>
      </c>
      <c r="F29" s="279"/>
      <c r="G29" s="68"/>
      <c r="H29" s="67"/>
      <c r="I29" s="63"/>
      <c r="J29" s="75" t="s">
        <v>385</v>
      </c>
      <c r="K29" s="97"/>
      <c r="L29" s="88"/>
      <c r="M29" s="88"/>
      <c r="N29" s="89"/>
      <c r="O29" s="89"/>
      <c r="Q29" s="217"/>
      <c r="T29" s="49" t="s">
        <v>117</v>
      </c>
      <c r="U29" s="96"/>
      <c r="W29" s="90">
        <f>M19-M37</f>
        <v>136363.99711999996</v>
      </c>
      <c r="Y29" s="54"/>
    </row>
    <row r="30" spans="1:25" ht="14.1" customHeight="1" x14ac:dyDescent="0.2">
      <c r="A30" s="429" t="s">
        <v>312</v>
      </c>
      <c r="B30" s="430"/>
      <c r="C30" s="66">
        <f>K4*5000</f>
        <v>5000</v>
      </c>
      <c r="D30" s="67">
        <f t="shared" si="0"/>
        <v>3.125</v>
      </c>
      <c r="E30" s="68">
        <f t="shared" si="1"/>
        <v>5000</v>
      </c>
      <c r="F30" s="279"/>
      <c r="G30" s="68"/>
      <c r="H30" s="67"/>
      <c r="I30" s="63"/>
      <c r="J30" s="49" t="s">
        <v>117</v>
      </c>
      <c r="K30" s="96"/>
      <c r="M30" s="90">
        <f>M19-M37</f>
        <v>136363.99711999996</v>
      </c>
      <c r="T30" s="49" t="s">
        <v>119</v>
      </c>
      <c r="U30" s="96"/>
      <c r="W30" s="286">
        <v>5000</v>
      </c>
      <c r="Y30" s="54"/>
    </row>
    <row r="31" spans="1:25" ht="14.25" customHeight="1" x14ac:dyDescent="0.2">
      <c r="A31" s="429" t="s">
        <v>317</v>
      </c>
      <c r="B31" s="430"/>
      <c r="C31" s="66">
        <f>K4*5000</f>
        <v>5000</v>
      </c>
      <c r="D31" s="67">
        <f t="shared" si="0"/>
        <v>3.125</v>
      </c>
      <c r="E31" s="68">
        <f t="shared" si="1"/>
        <v>5000</v>
      </c>
      <c r="F31" s="279"/>
      <c r="G31" s="68"/>
      <c r="H31" s="67"/>
      <c r="I31" s="63"/>
      <c r="J31" s="49" t="s">
        <v>119</v>
      </c>
      <c r="K31" s="96"/>
      <c r="M31" s="93">
        <v>8500</v>
      </c>
      <c r="T31" s="49" t="s">
        <v>120</v>
      </c>
      <c r="U31" s="96"/>
      <c r="V31" s="291">
        <v>0.02</v>
      </c>
      <c r="W31" s="90">
        <f>V31*W29</f>
        <v>2727.2799423999991</v>
      </c>
      <c r="X31" s="301"/>
      <c r="Y31" s="54"/>
    </row>
    <row r="32" spans="1:25" ht="14.1" customHeight="1" thickBot="1" x14ac:dyDescent="0.25">
      <c r="A32" s="429" t="s">
        <v>359</v>
      </c>
      <c r="B32" s="430"/>
      <c r="C32" s="66">
        <f>K4*3000</f>
        <v>3000</v>
      </c>
      <c r="D32" s="67">
        <f t="shared" si="0"/>
        <v>1.875</v>
      </c>
      <c r="E32" s="68">
        <f t="shared" si="1"/>
        <v>3000</v>
      </c>
      <c r="F32" s="279"/>
      <c r="G32" s="68"/>
      <c r="H32" s="67"/>
      <c r="I32" s="63"/>
      <c r="J32" s="49" t="s">
        <v>386</v>
      </c>
      <c r="K32" s="96"/>
      <c r="L32" s="81">
        <v>0.02</v>
      </c>
      <c r="M32" s="90">
        <f>L32*(M30+M31)</f>
        <v>2897.2799423999991</v>
      </c>
      <c r="N32" s="301"/>
      <c r="T32" s="83" t="s">
        <v>124</v>
      </c>
      <c r="U32" s="293">
        <v>6.5</v>
      </c>
      <c r="V32" s="292">
        <v>0.1</v>
      </c>
      <c r="W32" s="84">
        <f>((V32*W29))/12*U32</f>
        <v>7386.3831773333313</v>
      </c>
      <c r="Y32" s="54"/>
    </row>
    <row r="33" spans="1:25" ht="14.1" customHeight="1" thickTop="1" thickBot="1" x14ac:dyDescent="0.25">
      <c r="A33" s="429" t="s">
        <v>376</v>
      </c>
      <c r="B33" s="430"/>
      <c r="C33" s="66"/>
      <c r="D33" s="67">
        <f t="shared" si="0"/>
        <v>0</v>
      </c>
      <c r="E33" s="68">
        <f t="shared" si="1"/>
        <v>0</v>
      </c>
      <c r="F33" s="279"/>
      <c r="G33" s="68"/>
      <c r="H33" s="67"/>
      <c r="I33" s="63"/>
      <c r="J33" s="83" t="s">
        <v>387</v>
      </c>
      <c r="K33" s="94">
        <v>6.5</v>
      </c>
      <c r="L33" s="95">
        <v>0.1</v>
      </c>
      <c r="M33" s="84">
        <f>((L33*M30))/12*K33</f>
        <v>7386.3831773333313</v>
      </c>
      <c r="T33" s="49" t="s">
        <v>267</v>
      </c>
      <c r="W33" s="87">
        <f>SUM(W30:W32)</f>
        <v>15113.66311973333</v>
      </c>
      <c r="Y33" s="54"/>
    </row>
    <row r="34" spans="1:25" ht="14.1" customHeight="1" thickTop="1" x14ac:dyDescent="0.2">
      <c r="A34" s="429" t="s">
        <v>349</v>
      </c>
      <c r="B34" s="430"/>
      <c r="C34" s="66">
        <f>K4*14000</f>
        <v>14000</v>
      </c>
      <c r="D34" s="67">
        <f t="shared" si="0"/>
        <v>8.75</v>
      </c>
      <c r="E34" s="68">
        <f t="shared" si="1"/>
        <v>14000</v>
      </c>
      <c r="F34" s="279"/>
      <c r="G34" s="68"/>
      <c r="H34" s="67"/>
      <c r="I34" s="63"/>
      <c r="J34" s="49" t="s">
        <v>388</v>
      </c>
      <c r="M34" s="87">
        <f>SUM(M31:M33)</f>
        <v>18783.66311973333</v>
      </c>
    </row>
    <row r="35" spans="1:25" ht="14.1" customHeight="1" x14ac:dyDescent="0.2">
      <c r="A35" s="429" t="s">
        <v>325</v>
      </c>
      <c r="B35" s="430"/>
      <c r="C35" s="66">
        <f>K4*500</f>
        <v>500</v>
      </c>
      <c r="D35" s="67">
        <f t="shared" si="0"/>
        <v>0.3125</v>
      </c>
      <c r="E35" s="68">
        <f t="shared" si="1"/>
        <v>500</v>
      </c>
      <c r="F35" s="279"/>
      <c r="G35" s="68"/>
      <c r="H35" s="67"/>
      <c r="I35" s="63"/>
    </row>
    <row r="36" spans="1:25" ht="14.1" customHeight="1" x14ac:dyDescent="0.2">
      <c r="A36" s="429" t="s">
        <v>309</v>
      </c>
      <c r="B36" s="430"/>
      <c r="C36" s="66"/>
      <c r="D36" s="67">
        <f t="shared" si="0"/>
        <v>0</v>
      </c>
      <c r="E36" s="68">
        <f t="shared" si="1"/>
        <v>0</v>
      </c>
      <c r="F36" s="279"/>
      <c r="G36" s="68"/>
      <c r="H36" s="67"/>
      <c r="I36" s="63"/>
      <c r="J36" s="98" t="s">
        <v>392</v>
      </c>
      <c r="K36" s="98"/>
      <c r="L36" s="98"/>
      <c r="M36" s="99">
        <f>M34+M27+M19</f>
        <v>697832.2488542645</v>
      </c>
      <c r="N36" s="98"/>
      <c r="O36" s="100"/>
    </row>
    <row r="37" spans="1:25" ht="14.1" customHeight="1" x14ac:dyDescent="0.2">
      <c r="A37" s="429" t="s">
        <v>310</v>
      </c>
      <c r="B37" s="430"/>
      <c r="C37" s="66">
        <f>K4*5000</f>
        <v>5000</v>
      </c>
      <c r="D37" s="67">
        <f t="shared" si="0"/>
        <v>3.125</v>
      </c>
      <c r="E37" s="68">
        <f t="shared" si="1"/>
        <v>5000</v>
      </c>
      <c r="F37" s="279"/>
      <c r="G37" s="68"/>
      <c r="H37" s="67"/>
      <c r="I37" s="63"/>
      <c r="J37" s="49" t="s">
        <v>390</v>
      </c>
      <c r="K37" s="101"/>
      <c r="L37" s="242"/>
      <c r="M37" s="102">
        <v>515000</v>
      </c>
      <c r="N37" s="91" t="s">
        <v>127</v>
      </c>
      <c r="O37" s="103">
        <f>M40/(M58+M38)</f>
        <v>0.203146943171405</v>
      </c>
    </row>
    <row r="38" spans="1:25" ht="14.1" customHeight="1" x14ac:dyDescent="0.2">
      <c r="A38" s="429" t="s">
        <v>377</v>
      </c>
      <c r="B38" s="430"/>
      <c r="C38" s="66"/>
      <c r="D38" s="67">
        <f t="shared" si="0"/>
        <v>0</v>
      </c>
      <c r="E38" s="68">
        <f t="shared" si="1"/>
        <v>0</v>
      </c>
      <c r="F38" s="279"/>
      <c r="G38" s="68"/>
      <c r="H38" s="67"/>
      <c r="I38" s="63"/>
      <c r="J38" s="49" t="s">
        <v>128</v>
      </c>
      <c r="L38" s="104">
        <v>0</v>
      </c>
      <c r="M38" s="87">
        <f>M36*L38</f>
        <v>0</v>
      </c>
      <c r="N38" s="91" t="s">
        <v>129</v>
      </c>
      <c r="O38" s="103">
        <f>(M40-M38)/M36</f>
        <v>0.26200028610665033</v>
      </c>
    </row>
    <row r="39" spans="1:25" ht="14.1" customHeight="1" x14ac:dyDescent="0.2">
      <c r="A39" s="255" t="s">
        <v>313</v>
      </c>
      <c r="B39" s="258"/>
      <c r="C39" s="259"/>
      <c r="D39" s="260"/>
      <c r="E39" s="261"/>
      <c r="F39" s="261"/>
      <c r="G39" s="261"/>
      <c r="H39" s="262"/>
      <c r="I39" s="63"/>
      <c r="J39" s="49" t="s">
        <v>130</v>
      </c>
      <c r="L39" s="81">
        <v>0.1</v>
      </c>
      <c r="M39" s="105">
        <f>L39*M37</f>
        <v>51500</v>
      </c>
      <c r="O39" s="49"/>
    </row>
    <row r="40" spans="1:25" ht="14.1" customHeight="1" thickBot="1" x14ac:dyDescent="0.25">
      <c r="A40" s="429" t="s">
        <v>314</v>
      </c>
      <c r="B40" s="430"/>
      <c r="C40" s="66">
        <f>K3*20</f>
        <v>32000</v>
      </c>
      <c r="D40" s="67">
        <f t="shared" si="0"/>
        <v>20</v>
      </c>
      <c r="E40" s="68">
        <f t="shared" si="1"/>
        <v>32000</v>
      </c>
      <c r="F40" s="279"/>
      <c r="G40" s="68"/>
      <c r="H40" s="67"/>
      <c r="I40" s="63"/>
      <c r="J40" s="106" t="s">
        <v>391</v>
      </c>
      <c r="K40" s="106"/>
      <c r="L40" s="106"/>
      <c r="M40" s="107">
        <f>M36-M37</f>
        <v>182832.2488542645</v>
      </c>
      <c r="N40" s="106"/>
      <c r="O40" s="106"/>
    </row>
    <row r="41" spans="1:25" ht="14.1" customHeight="1" thickTop="1" x14ac:dyDescent="0.2">
      <c r="A41" s="429" t="s">
        <v>315</v>
      </c>
      <c r="B41" s="430"/>
      <c r="C41" s="66">
        <f>K3*11</f>
        <v>17600</v>
      </c>
      <c r="D41" s="67">
        <f t="shared" si="0"/>
        <v>11</v>
      </c>
      <c r="E41" s="68">
        <f t="shared" si="1"/>
        <v>17600</v>
      </c>
      <c r="F41" s="279"/>
      <c r="G41" s="68"/>
      <c r="H41" s="67"/>
      <c r="I41" s="63"/>
    </row>
    <row r="42" spans="1:25" ht="14.1" customHeight="1" thickBot="1" x14ac:dyDescent="0.25">
      <c r="A42" s="429" t="s">
        <v>328</v>
      </c>
      <c r="B42" s="430"/>
      <c r="C42" s="66"/>
      <c r="D42" s="67">
        <f t="shared" si="0"/>
        <v>0</v>
      </c>
      <c r="E42" s="68">
        <f t="shared" si="1"/>
        <v>0</v>
      </c>
      <c r="F42" s="279"/>
      <c r="G42" s="68"/>
      <c r="H42" s="67"/>
      <c r="I42" s="63"/>
    </row>
    <row r="43" spans="1:25" ht="14.1" customHeight="1" thickBot="1" x14ac:dyDescent="0.25">
      <c r="A43" s="429" t="s">
        <v>346</v>
      </c>
      <c r="B43" s="430"/>
      <c r="C43" s="66">
        <f>K4*1000</f>
        <v>1000</v>
      </c>
      <c r="D43" s="67">
        <f t="shared" si="0"/>
        <v>0.625</v>
      </c>
      <c r="E43" s="68">
        <f t="shared" si="1"/>
        <v>1000</v>
      </c>
      <c r="F43" s="279"/>
      <c r="G43" s="68"/>
      <c r="H43" s="67"/>
      <c r="I43" s="63"/>
      <c r="J43" s="435" t="s">
        <v>131</v>
      </c>
      <c r="K43" s="435"/>
      <c r="L43" s="435"/>
      <c r="M43" s="435"/>
      <c r="N43" s="435"/>
      <c r="O43" s="435"/>
      <c r="Q43" s="294" t="s">
        <v>380</v>
      </c>
      <c r="R43" s="46"/>
      <c r="T43" s="294" t="s">
        <v>380</v>
      </c>
      <c r="U43" s="43"/>
    </row>
    <row r="44" spans="1:25" ht="14.1" customHeight="1" x14ac:dyDescent="0.2">
      <c r="A44" s="429" t="s">
        <v>347</v>
      </c>
      <c r="B44" s="430"/>
      <c r="C44" s="66">
        <f>K4*500</f>
        <v>500</v>
      </c>
      <c r="D44" s="67">
        <f t="shared" si="0"/>
        <v>0.3125</v>
      </c>
      <c r="E44" s="68">
        <f t="shared" si="1"/>
        <v>500</v>
      </c>
      <c r="F44" s="279"/>
      <c r="G44" s="68"/>
      <c r="H44" s="67"/>
      <c r="I44" s="63"/>
    </row>
    <row r="45" spans="1:25" ht="14.1" customHeight="1" x14ac:dyDescent="0.2">
      <c r="A45" s="440" t="s">
        <v>125</v>
      </c>
      <c r="B45" s="441"/>
      <c r="C45" s="66">
        <f>K4*11500</f>
        <v>11500</v>
      </c>
      <c r="D45" s="67">
        <f t="shared" si="0"/>
        <v>7.1875</v>
      </c>
      <c r="E45" s="68">
        <f t="shared" si="1"/>
        <v>11500</v>
      </c>
      <c r="F45" s="279"/>
      <c r="G45" s="68"/>
      <c r="H45" s="67"/>
      <c r="I45" s="63"/>
      <c r="J45" s="76" t="s">
        <v>393</v>
      </c>
      <c r="K45" s="76" t="s">
        <v>132</v>
      </c>
      <c r="L45" s="76" t="s">
        <v>133</v>
      </c>
      <c r="M45" s="76" t="s">
        <v>134</v>
      </c>
      <c r="N45" s="76" t="s">
        <v>135</v>
      </c>
      <c r="O45" s="76" t="s">
        <v>136</v>
      </c>
      <c r="Q45" s="245" t="s">
        <v>370</v>
      </c>
      <c r="R45" s="76" t="s">
        <v>291</v>
      </c>
      <c r="T45" s="245" t="s">
        <v>371</v>
      </c>
      <c r="U45" s="76" t="s">
        <v>291</v>
      </c>
    </row>
    <row r="46" spans="1:25" ht="14.1" customHeight="1" x14ac:dyDescent="0.2">
      <c r="A46" s="440" t="s">
        <v>126</v>
      </c>
      <c r="B46" s="441"/>
      <c r="C46" s="66">
        <f>K4*11000</f>
        <v>11000</v>
      </c>
      <c r="D46" s="67">
        <f t="shared" si="0"/>
        <v>6.875</v>
      </c>
      <c r="E46" s="68">
        <f t="shared" si="1"/>
        <v>11000</v>
      </c>
      <c r="F46" s="279"/>
      <c r="G46" s="68"/>
      <c r="H46" s="67"/>
      <c r="I46" s="63"/>
      <c r="J46" s="49" t="s">
        <v>137</v>
      </c>
      <c r="K46" s="108">
        <v>1600</v>
      </c>
      <c r="L46" s="108">
        <f>K46</f>
        <v>1600</v>
      </c>
      <c r="M46" s="93">
        <v>900000</v>
      </c>
      <c r="N46" s="109" t="s">
        <v>138</v>
      </c>
      <c r="O46" s="79">
        <f t="shared" ref="O46:O57" si="2">IFERROR(M46/L46,"")</f>
        <v>562.5</v>
      </c>
      <c r="Q46" s="249">
        <v>775000</v>
      </c>
      <c r="R46" s="246">
        <f t="shared" ref="R46:R57" si="3">IFERROR(Q46/L46,"")</f>
        <v>484.375</v>
      </c>
      <c r="T46" s="286">
        <v>765000</v>
      </c>
      <c r="U46" s="287">
        <f t="shared" ref="U46:U57" si="4">IFERROR(T46/K46,"")</f>
        <v>478.125</v>
      </c>
    </row>
    <row r="47" spans="1:25" ht="14.1" customHeight="1" x14ac:dyDescent="0.2">
      <c r="A47" s="440" t="s">
        <v>316</v>
      </c>
      <c r="B47" s="441"/>
      <c r="C47" s="66">
        <f>K4*9500</f>
        <v>9500</v>
      </c>
      <c r="D47" s="67">
        <f t="shared" si="0"/>
        <v>5.9375</v>
      </c>
      <c r="E47" s="68">
        <f t="shared" si="1"/>
        <v>9500</v>
      </c>
      <c r="F47" s="279"/>
      <c r="G47" s="68"/>
      <c r="H47" s="67"/>
      <c r="I47" s="63"/>
      <c r="J47" s="49" t="s">
        <v>139</v>
      </c>
      <c r="K47" s="108"/>
      <c r="L47" s="108"/>
      <c r="M47" s="93"/>
      <c r="N47" s="211"/>
      <c r="O47" s="79" t="str">
        <f t="shared" si="2"/>
        <v/>
      </c>
      <c r="Q47" s="249">
        <v>775000</v>
      </c>
      <c r="R47" s="246" t="str">
        <f t="shared" si="3"/>
        <v/>
      </c>
      <c r="T47" s="286">
        <v>765000</v>
      </c>
      <c r="U47" s="287" t="str">
        <f t="shared" si="4"/>
        <v/>
      </c>
    </row>
    <row r="48" spans="1:25" ht="14.1" customHeight="1" x14ac:dyDescent="0.2">
      <c r="A48" s="440" t="s">
        <v>365</v>
      </c>
      <c r="B48" s="441"/>
      <c r="C48" s="66">
        <f>K4*2000</f>
        <v>2000</v>
      </c>
      <c r="D48" s="67">
        <f t="shared" si="0"/>
        <v>1.25</v>
      </c>
      <c r="E48" s="68">
        <f t="shared" si="1"/>
        <v>2000</v>
      </c>
      <c r="F48" s="279"/>
      <c r="G48" s="68"/>
      <c r="H48" s="67"/>
      <c r="I48" s="63"/>
      <c r="J48" s="49" t="s">
        <v>395</v>
      </c>
      <c r="K48" s="108"/>
      <c r="L48" s="108"/>
      <c r="M48" s="93"/>
      <c r="N48" s="211"/>
      <c r="O48" s="79" t="str">
        <f t="shared" si="2"/>
        <v/>
      </c>
      <c r="Q48" s="249">
        <v>775000</v>
      </c>
      <c r="R48" s="246" t="str">
        <f t="shared" si="3"/>
        <v/>
      </c>
      <c r="T48" s="286">
        <v>765000</v>
      </c>
      <c r="U48" s="287" t="str">
        <f t="shared" si="4"/>
        <v/>
      </c>
    </row>
    <row r="49" spans="1:21" ht="14.1" customHeight="1" x14ac:dyDescent="0.2">
      <c r="A49" s="440" t="s">
        <v>366</v>
      </c>
      <c r="B49" s="441"/>
      <c r="C49" s="66">
        <f>K4*2500</f>
        <v>2500</v>
      </c>
      <c r="D49" s="67">
        <f t="shared" si="0"/>
        <v>1.5625</v>
      </c>
      <c r="E49" s="68">
        <f t="shared" si="1"/>
        <v>2500</v>
      </c>
      <c r="F49" s="279"/>
      <c r="G49" s="68"/>
      <c r="H49" s="67"/>
      <c r="I49" s="63"/>
      <c r="J49" s="49" t="s">
        <v>141</v>
      </c>
      <c r="K49" s="108"/>
      <c r="L49" s="108"/>
      <c r="M49" s="93"/>
      <c r="N49" s="211"/>
      <c r="O49" s="79" t="str">
        <f t="shared" si="2"/>
        <v/>
      </c>
      <c r="Q49" s="249">
        <v>775000</v>
      </c>
      <c r="R49" s="246" t="str">
        <f t="shared" si="3"/>
        <v/>
      </c>
      <c r="T49" s="286">
        <v>765000</v>
      </c>
      <c r="U49" s="287" t="str">
        <f t="shared" si="4"/>
        <v/>
      </c>
    </row>
    <row r="50" spans="1:21" ht="14.1" customHeight="1" x14ac:dyDescent="0.2">
      <c r="A50" s="442" t="s">
        <v>367</v>
      </c>
      <c r="B50" s="442"/>
      <c r="C50" s="66">
        <f>K3*3.5</f>
        <v>5600</v>
      </c>
      <c r="D50" s="67">
        <f t="shared" si="0"/>
        <v>3.5</v>
      </c>
      <c r="E50" s="68">
        <f t="shared" si="1"/>
        <v>5600</v>
      </c>
      <c r="F50" s="279"/>
      <c r="G50" s="68"/>
      <c r="H50" s="67"/>
      <c r="I50" s="63"/>
      <c r="J50" s="49" t="s">
        <v>142</v>
      </c>
      <c r="K50" s="108"/>
      <c r="L50" s="108"/>
      <c r="M50" s="93"/>
      <c r="N50" s="211"/>
      <c r="O50" s="79" t="str">
        <f t="shared" si="2"/>
        <v/>
      </c>
      <c r="Q50" s="249">
        <v>775000</v>
      </c>
      <c r="R50" s="246" t="str">
        <f t="shared" si="3"/>
        <v/>
      </c>
      <c r="T50" s="286">
        <v>765000</v>
      </c>
      <c r="U50" s="287" t="str">
        <f t="shared" si="4"/>
        <v/>
      </c>
    </row>
    <row r="51" spans="1:21" ht="14.1" customHeight="1" x14ac:dyDescent="0.2">
      <c r="A51" s="429" t="s">
        <v>318</v>
      </c>
      <c r="B51" s="430"/>
      <c r="C51" s="66">
        <f>K4*1000</f>
        <v>1000</v>
      </c>
      <c r="D51" s="67">
        <f t="shared" si="0"/>
        <v>0.625</v>
      </c>
      <c r="E51" s="68">
        <f t="shared" si="1"/>
        <v>1000</v>
      </c>
      <c r="F51" s="279"/>
      <c r="G51" s="68"/>
      <c r="H51" s="67"/>
      <c r="I51" s="63"/>
      <c r="J51" s="49" t="s">
        <v>143</v>
      </c>
      <c r="K51" s="108"/>
      <c r="L51" s="108"/>
      <c r="M51" s="93"/>
      <c r="N51" s="110"/>
      <c r="O51" s="79" t="str">
        <f t="shared" si="2"/>
        <v/>
      </c>
      <c r="Q51" s="249">
        <v>775000</v>
      </c>
      <c r="R51" s="246" t="str">
        <f t="shared" si="3"/>
        <v/>
      </c>
      <c r="T51" s="286">
        <v>765000</v>
      </c>
      <c r="U51" s="287" t="str">
        <f t="shared" si="4"/>
        <v/>
      </c>
    </row>
    <row r="52" spans="1:21" ht="14.1" customHeight="1" x14ac:dyDescent="0.2">
      <c r="A52" s="429" t="s">
        <v>319</v>
      </c>
      <c r="B52" s="430"/>
      <c r="C52" s="66">
        <f>K3*3.75</f>
        <v>6000</v>
      </c>
      <c r="D52" s="67">
        <f t="shared" si="0"/>
        <v>3.75</v>
      </c>
      <c r="E52" s="68">
        <f t="shared" si="1"/>
        <v>6000</v>
      </c>
      <c r="F52" s="279"/>
      <c r="G52" s="68"/>
      <c r="H52" s="67"/>
      <c r="I52" s="63"/>
      <c r="J52" s="49" t="s">
        <v>144</v>
      </c>
      <c r="K52" s="108"/>
      <c r="L52" s="108"/>
      <c r="M52" s="93"/>
      <c r="N52" s="110"/>
      <c r="O52" s="79" t="str">
        <f t="shared" si="2"/>
        <v/>
      </c>
      <c r="Q52" s="246"/>
      <c r="R52" s="246" t="str">
        <f t="shared" si="3"/>
        <v/>
      </c>
      <c r="T52" s="287"/>
      <c r="U52" s="287" t="str">
        <f t="shared" si="4"/>
        <v/>
      </c>
    </row>
    <row r="53" spans="1:21" ht="14.1" customHeight="1" x14ac:dyDescent="0.2">
      <c r="A53" s="429" t="s">
        <v>327</v>
      </c>
      <c r="B53" s="430"/>
      <c r="C53" s="66"/>
      <c r="D53" s="67">
        <f t="shared" si="0"/>
        <v>0</v>
      </c>
      <c r="E53" s="68">
        <f t="shared" si="1"/>
        <v>0</v>
      </c>
      <c r="F53" s="279"/>
      <c r="G53" s="68"/>
      <c r="H53" s="67"/>
      <c r="I53" s="63"/>
      <c r="J53" s="49" t="s">
        <v>145</v>
      </c>
      <c r="K53" s="108"/>
      <c r="L53" s="108"/>
      <c r="M53" s="93"/>
      <c r="N53" s="110"/>
      <c r="O53" s="79" t="str">
        <f t="shared" si="2"/>
        <v/>
      </c>
      <c r="Q53" s="246"/>
      <c r="R53" s="246" t="str">
        <f t="shared" si="3"/>
        <v/>
      </c>
      <c r="T53" s="287"/>
      <c r="U53" s="287" t="str">
        <f t="shared" si="4"/>
        <v/>
      </c>
    </row>
    <row r="54" spans="1:21" ht="14.1" customHeight="1" x14ac:dyDescent="0.2">
      <c r="A54" s="429" t="s">
        <v>326</v>
      </c>
      <c r="B54" s="430"/>
      <c r="C54" s="66">
        <f>K3*10</f>
        <v>16000</v>
      </c>
      <c r="D54" s="67">
        <f t="shared" si="0"/>
        <v>10</v>
      </c>
      <c r="E54" s="68">
        <f t="shared" si="1"/>
        <v>16000</v>
      </c>
      <c r="F54" s="279"/>
      <c r="G54" s="68"/>
      <c r="H54" s="67"/>
      <c r="I54" s="63"/>
      <c r="J54" s="49" t="s">
        <v>146</v>
      </c>
      <c r="K54" s="108"/>
      <c r="L54" s="108"/>
      <c r="M54" s="93"/>
      <c r="N54" s="110"/>
      <c r="O54" s="79" t="str">
        <f t="shared" si="2"/>
        <v/>
      </c>
      <c r="Q54" s="246"/>
      <c r="R54" s="246" t="str">
        <f t="shared" si="3"/>
        <v/>
      </c>
      <c r="T54" s="287"/>
      <c r="U54" s="287" t="str">
        <f t="shared" si="4"/>
        <v/>
      </c>
    </row>
    <row r="55" spans="1:21" ht="14.1" customHeight="1" x14ac:dyDescent="0.2">
      <c r="A55" s="429" t="s">
        <v>320</v>
      </c>
      <c r="B55" s="430"/>
      <c r="C55" s="66"/>
      <c r="D55" s="67">
        <f t="shared" si="0"/>
        <v>0</v>
      </c>
      <c r="E55" s="68">
        <f t="shared" si="1"/>
        <v>0</v>
      </c>
      <c r="F55" s="279"/>
      <c r="G55" s="68"/>
      <c r="H55" s="67"/>
      <c r="I55" s="63"/>
      <c r="J55" s="49" t="s">
        <v>148</v>
      </c>
      <c r="K55" s="108"/>
      <c r="L55" s="108"/>
      <c r="M55" s="93"/>
      <c r="N55" s="110"/>
      <c r="O55" s="79" t="str">
        <f t="shared" si="2"/>
        <v/>
      </c>
      <c r="Q55" s="246"/>
      <c r="R55" s="246" t="str">
        <f t="shared" si="3"/>
        <v/>
      </c>
      <c r="T55" s="287"/>
      <c r="U55" s="287" t="str">
        <f t="shared" si="4"/>
        <v/>
      </c>
    </row>
    <row r="56" spans="1:21" ht="14.1" customHeight="1" x14ac:dyDescent="0.2">
      <c r="A56" s="429" t="s">
        <v>321</v>
      </c>
      <c r="B56" s="430"/>
      <c r="C56" s="66">
        <f>K3*4</f>
        <v>6400</v>
      </c>
      <c r="D56" s="67">
        <f t="shared" si="0"/>
        <v>4</v>
      </c>
      <c r="E56" s="68">
        <f t="shared" si="1"/>
        <v>6400</v>
      </c>
      <c r="F56" s="279"/>
      <c r="G56" s="68"/>
      <c r="H56" s="67"/>
      <c r="I56" s="63"/>
      <c r="J56" s="49" t="s">
        <v>149</v>
      </c>
      <c r="K56" s="108"/>
      <c r="L56" s="108"/>
      <c r="M56" s="93"/>
      <c r="N56" s="110"/>
      <c r="O56" s="79" t="str">
        <f t="shared" si="2"/>
        <v/>
      </c>
      <c r="Q56" s="246"/>
      <c r="R56" s="246" t="str">
        <f t="shared" si="3"/>
        <v/>
      </c>
      <c r="T56" s="287"/>
      <c r="U56" s="287" t="str">
        <f t="shared" si="4"/>
        <v/>
      </c>
    </row>
    <row r="57" spans="1:21" ht="14.1" customHeight="1" thickBot="1" x14ac:dyDescent="0.25">
      <c r="A57" s="429" t="s">
        <v>329</v>
      </c>
      <c r="B57" s="430"/>
      <c r="C57" s="66">
        <f>K4*7000</f>
        <v>7000</v>
      </c>
      <c r="D57" s="67">
        <f t="shared" si="0"/>
        <v>4.375</v>
      </c>
      <c r="E57" s="68">
        <f t="shared" si="1"/>
        <v>7000</v>
      </c>
      <c r="F57" s="279"/>
      <c r="G57" s="68"/>
      <c r="H57" s="67"/>
      <c r="I57" s="63"/>
      <c r="J57" s="83" t="s">
        <v>150</v>
      </c>
      <c r="K57" s="112"/>
      <c r="L57" s="112"/>
      <c r="M57" s="113"/>
      <c r="N57" s="114"/>
      <c r="O57" s="85" t="str">
        <f t="shared" si="2"/>
        <v/>
      </c>
      <c r="Q57" s="247"/>
      <c r="R57" s="247" t="str">
        <f t="shared" si="3"/>
        <v/>
      </c>
      <c r="T57" s="288"/>
      <c r="U57" s="288" t="str">
        <f t="shared" si="4"/>
        <v/>
      </c>
    </row>
    <row r="58" spans="1:21" ht="14.1" customHeight="1" thickTop="1" x14ac:dyDescent="0.2">
      <c r="A58" s="440" t="s">
        <v>116</v>
      </c>
      <c r="B58" s="441"/>
      <c r="C58" s="66">
        <f>K4*1500</f>
        <v>1500</v>
      </c>
      <c r="D58" s="67">
        <f t="shared" si="0"/>
        <v>0.9375</v>
      </c>
      <c r="E58" s="68">
        <f t="shared" si="1"/>
        <v>1500</v>
      </c>
      <c r="F58" s="279"/>
      <c r="G58" s="68"/>
      <c r="H58" s="67"/>
      <c r="I58" s="63"/>
      <c r="K58" s="115">
        <f>SUM(K46:K57)</f>
        <v>1600</v>
      </c>
      <c r="L58" s="115">
        <f>SUM(L46:L57)</f>
        <v>1600</v>
      </c>
      <c r="M58" s="115">
        <f>SUM(M46:M57)</f>
        <v>900000</v>
      </c>
      <c r="O58" s="79">
        <f>M58/L58</f>
        <v>562.5</v>
      </c>
      <c r="Q58" s="79">
        <f>SUM(Q46:Q57)</f>
        <v>4650000</v>
      </c>
      <c r="R58" s="79">
        <f>Q58/L58</f>
        <v>2906.25</v>
      </c>
      <c r="T58" s="79">
        <f>SUM(T46:T57)</f>
        <v>4590000</v>
      </c>
      <c r="U58" s="79">
        <f>T58/O58</f>
        <v>8160</v>
      </c>
    </row>
    <row r="59" spans="1:21" ht="14.1" customHeight="1" x14ac:dyDescent="0.2">
      <c r="A59" s="429" t="s">
        <v>322</v>
      </c>
      <c r="B59" s="430"/>
      <c r="C59" s="66">
        <f>K4*2000</f>
        <v>2000</v>
      </c>
      <c r="D59" s="67">
        <f t="shared" si="0"/>
        <v>1.25</v>
      </c>
      <c r="E59" s="68">
        <f t="shared" si="1"/>
        <v>2000</v>
      </c>
      <c r="F59" s="279"/>
      <c r="G59" s="68"/>
      <c r="H59" s="67"/>
      <c r="I59" s="63"/>
      <c r="Q59" s="79"/>
      <c r="R59" s="49"/>
      <c r="T59" s="79"/>
    </row>
    <row r="60" spans="1:21" ht="14.1" customHeight="1" x14ac:dyDescent="0.2">
      <c r="A60" s="429" t="s">
        <v>323</v>
      </c>
      <c r="B60" s="430"/>
      <c r="C60" s="66"/>
      <c r="D60" s="67">
        <f t="shared" si="0"/>
        <v>0</v>
      </c>
      <c r="E60" s="68">
        <f t="shared" si="1"/>
        <v>0</v>
      </c>
      <c r="F60" s="279"/>
      <c r="G60" s="68"/>
      <c r="H60" s="67"/>
      <c r="I60" s="63"/>
      <c r="M60" s="122" t="s">
        <v>107</v>
      </c>
      <c r="N60" s="122" t="s">
        <v>108</v>
      </c>
      <c r="Q60" s="76" t="s">
        <v>107</v>
      </c>
      <c r="R60" s="76" t="s">
        <v>108</v>
      </c>
      <c r="T60" s="76" t="s">
        <v>107</v>
      </c>
      <c r="U60" s="76" t="s">
        <v>108</v>
      </c>
    </row>
    <row r="61" spans="1:21" ht="14.1" customHeight="1" x14ac:dyDescent="0.2">
      <c r="A61" s="429" t="s">
        <v>324</v>
      </c>
      <c r="B61" s="430"/>
      <c r="C61" s="66">
        <f>K4*7000</f>
        <v>7000</v>
      </c>
      <c r="D61" s="67">
        <f t="shared" si="0"/>
        <v>4.375</v>
      </c>
      <c r="E61" s="68">
        <f t="shared" si="1"/>
        <v>7000</v>
      </c>
      <c r="F61" s="279"/>
      <c r="G61" s="68"/>
      <c r="H61" s="67"/>
      <c r="I61" s="63"/>
      <c r="J61" s="126" t="s">
        <v>155</v>
      </c>
      <c r="K61" s="98"/>
      <c r="L61" s="218">
        <v>1</v>
      </c>
      <c r="M61" s="127">
        <f>M58*L61</f>
        <v>900000</v>
      </c>
      <c r="N61" s="128">
        <f>M61/$K$4</f>
        <v>900000</v>
      </c>
      <c r="Q61" s="79">
        <f>Q58</f>
        <v>4650000</v>
      </c>
      <c r="R61" s="135">
        <f>Q61/$K$4</f>
        <v>4650000</v>
      </c>
      <c r="T61" s="127">
        <f>T58*L61</f>
        <v>4590000</v>
      </c>
      <c r="U61" s="128">
        <f>T61/$K$4</f>
        <v>4590000</v>
      </c>
    </row>
    <row r="62" spans="1:21" ht="14.1" customHeight="1" x14ac:dyDescent="0.2">
      <c r="A62" s="429" t="s">
        <v>361</v>
      </c>
      <c r="B62" s="430"/>
      <c r="C62" s="243">
        <f>K3*8.5</f>
        <v>13600</v>
      </c>
      <c r="D62" s="250">
        <f t="shared" si="0"/>
        <v>8.5</v>
      </c>
      <c r="E62" s="203">
        <f t="shared" si="1"/>
        <v>13600</v>
      </c>
      <c r="F62" s="280"/>
      <c r="G62" s="203"/>
      <c r="H62" s="250"/>
      <c r="I62" s="63"/>
      <c r="J62" s="133" t="s">
        <v>157</v>
      </c>
      <c r="L62" s="215">
        <v>8.2500000000000004E-2</v>
      </c>
      <c r="M62" s="134">
        <f>M61*L62</f>
        <v>74250</v>
      </c>
      <c r="N62" s="135">
        <f>M62/$K$4</f>
        <v>74250</v>
      </c>
      <c r="Q62" s="134">
        <f>Q61*L62</f>
        <v>383625</v>
      </c>
      <c r="R62" s="135">
        <f>Q62/$K$4</f>
        <v>383625</v>
      </c>
      <c r="T62" s="134">
        <f>T61*L62</f>
        <v>378675</v>
      </c>
      <c r="U62" s="135">
        <f t="shared" ref="U62:U65" si="5">T62/$K$4</f>
        <v>378675</v>
      </c>
    </row>
    <row r="63" spans="1:21" ht="14.1" customHeight="1" x14ac:dyDescent="0.2">
      <c r="A63" s="443" t="s">
        <v>336</v>
      </c>
      <c r="B63" s="444"/>
      <c r="C63" s="263">
        <f>K3*4</f>
        <v>6400</v>
      </c>
      <c r="D63" s="257">
        <f t="shared" si="0"/>
        <v>4</v>
      </c>
      <c r="E63" s="268">
        <f t="shared" si="1"/>
        <v>6400</v>
      </c>
      <c r="F63" s="281"/>
      <c r="G63" s="268"/>
      <c r="H63" s="257"/>
      <c r="I63" s="63"/>
      <c r="J63" s="80" t="s">
        <v>158</v>
      </c>
      <c r="K63" s="80"/>
      <c r="L63" s="80"/>
      <c r="M63" s="134">
        <f>M61-M62</f>
        <v>825750</v>
      </c>
      <c r="N63" s="135">
        <f>M63/$K$4</f>
        <v>825750</v>
      </c>
      <c r="Q63" s="79">
        <f>Q61-Q62</f>
        <v>4266375</v>
      </c>
      <c r="R63" s="135">
        <f t="shared" ref="R63:R64" si="6">Q63/$K$4</f>
        <v>4266375</v>
      </c>
      <c r="T63" s="134">
        <f>T61-T62</f>
        <v>4211325</v>
      </c>
      <c r="U63" s="135">
        <f t="shared" si="5"/>
        <v>4211325</v>
      </c>
    </row>
    <row r="64" spans="1:21" ht="14.1" customHeight="1" x14ac:dyDescent="0.2">
      <c r="A64" s="255" t="s">
        <v>330</v>
      </c>
      <c r="B64" s="258"/>
      <c r="C64" s="264"/>
      <c r="D64" s="265"/>
      <c r="E64" s="266"/>
      <c r="F64" s="266"/>
      <c r="G64" s="266"/>
      <c r="H64" s="267"/>
      <c r="I64" s="63"/>
      <c r="J64" s="141" t="s">
        <v>160</v>
      </c>
      <c r="K64" s="141"/>
      <c r="L64" s="141"/>
      <c r="M64" s="142">
        <f>M36</f>
        <v>697832.2488542645</v>
      </c>
      <c r="N64" s="143">
        <f>M64/$K$4</f>
        <v>697832.2488542645</v>
      </c>
      <c r="Q64" s="143">
        <f>M64</f>
        <v>697832.2488542645</v>
      </c>
      <c r="R64" s="143">
        <f t="shared" si="6"/>
        <v>697832.2488542645</v>
      </c>
      <c r="T64" s="142">
        <f>M64</f>
        <v>697832.2488542645</v>
      </c>
      <c r="U64" s="143">
        <f t="shared" si="5"/>
        <v>697832.2488542645</v>
      </c>
    </row>
    <row r="65" spans="1:22" ht="14.1" customHeight="1" thickBot="1" x14ac:dyDescent="0.25">
      <c r="A65" s="429" t="s">
        <v>335</v>
      </c>
      <c r="B65" s="430"/>
      <c r="C65" s="66">
        <f>K3*4.5</f>
        <v>7200</v>
      </c>
      <c r="D65" s="67">
        <f t="shared" si="0"/>
        <v>4.5</v>
      </c>
      <c r="E65" s="68">
        <f t="shared" ref="E65:E80" si="7">C65/$K$4</f>
        <v>7200</v>
      </c>
      <c r="F65" s="279"/>
      <c r="G65" s="68"/>
      <c r="H65" s="67"/>
      <c r="I65" s="63"/>
      <c r="J65" s="144" t="s">
        <v>163</v>
      </c>
      <c r="K65" s="106"/>
      <c r="L65" s="145"/>
      <c r="M65" s="146">
        <f>M63-M64</f>
        <v>127917.7511457355</v>
      </c>
      <c r="N65" s="147">
        <f>M65/$K$4</f>
        <v>127917.7511457355</v>
      </c>
      <c r="O65" s="148">
        <f>M65/M61</f>
        <v>0.14213083460637277</v>
      </c>
      <c r="Q65" s="248">
        <f>Q63-Q64</f>
        <v>3568542.7511457354</v>
      </c>
      <c r="R65" s="147">
        <f>Q65/$K$4</f>
        <v>3568542.7511457354</v>
      </c>
      <c r="S65" s="148">
        <f>Q65/Q61</f>
        <v>0.76742854863349153</v>
      </c>
      <c r="T65" s="146">
        <f>T63-T64</f>
        <v>3513492.7511457354</v>
      </c>
      <c r="U65" s="147">
        <f t="shared" si="5"/>
        <v>3513492.7511457354</v>
      </c>
      <c r="V65" s="148">
        <f>T65/T61</f>
        <v>0.76546683031497498</v>
      </c>
    </row>
    <row r="66" spans="1:22" ht="14.1" customHeight="1" thickTop="1" x14ac:dyDescent="0.2">
      <c r="A66" s="429" t="s">
        <v>344</v>
      </c>
      <c r="B66" s="430"/>
      <c r="C66" s="66">
        <f>K3*0.25</f>
        <v>400</v>
      </c>
      <c r="D66" s="250">
        <f t="shared" si="0"/>
        <v>0.25</v>
      </c>
      <c r="E66" s="203">
        <f t="shared" si="7"/>
        <v>400</v>
      </c>
      <c r="F66" s="280"/>
      <c r="G66" s="203"/>
      <c r="H66" s="250"/>
      <c r="I66" s="63"/>
      <c r="Q66" s="79"/>
      <c r="R66" s="49"/>
    </row>
    <row r="67" spans="1:22" ht="14.1" customHeight="1" thickBot="1" x14ac:dyDescent="0.25">
      <c r="A67" s="429" t="s">
        <v>332</v>
      </c>
      <c r="B67" s="430"/>
      <c r="C67" s="66">
        <f>K4*5000</f>
        <v>5000</v>
      </c>
      <c r="D67" s="250">
        <f t="shared" si="0"/>
        <v>3.125</v>
      </c>
      <c r="E67" s="203">
        <f t="shared" si="7"/>
        <v>5000</v>
      </c>
      <c r="F67" s="280"/>
      <c r="G67" s="203"/>
      <c r="H67" s="250"/>
      <c r="I67" s="63"/>
      <c r="Q67" s="79"/>
      <c r="R67" s="49"/>
    </row>
    <row r="68" spans="1:22" ht="14.1" customHeight="1" thickBot="1" x14ac:dyDescent="0.25">
      <c r="A68" s="429" t="s">
        <v>333</v>
      </c>
      <c r="B68" s="430"/>
      <c r="C68" s="66">
        <f>K4*8000</f>
        <v>8000</v>
      </c>
      <c r="D68" s="250">
        <f t="shared" si="0"/>
        <v>5</v>
      </c>
      <c r="E68" s="203">
        <f t="shared" si="7"/>
        <v>8000</v>
      </c>
      <c r="F68" s="280"/>
      <c r="G68" s="203"/>
      <c r="H68" s="250"/>
      <c r="I68" s="63"/>
      <c r="J68" s="435" t="s">
        <v>165</v>
      </c>
      <c r="K68" s="435"/>
      <c r="L68" s="435"/>
      <c r="M68" s="435"/>
      <c r="N68" s="435"/>
      <c r="O68" s="435"/>
    </row>
    <row r="69" spans="1:22" ht="14.1" customHeight="1" x14ac:dyDescent="0.2">
      <c r="A69" s="429" t="s">
        <v>334</v>
      </c>
      <c r="B69" s="430"/>
      <c r="C69" s="66">
        <f>K4*8000</f>
        <v>8000</v>
      </c>
      <c r="D69" s="250">
        <f t="shared" si="0"/>
        <v>5</v>
      </c>
      <c r="E69" s="203">
        <f t="shared" si="7"/>
        <v>8000</v>
      </c>
      <c r="F69" s="280"/>
      <c r="G69" s="203"/>
      <c r="H69" s="250"/>
      <c r="I69" s="63"/>
      <c r="O69" s="63"/>
    </row>
    <row r="70" spans="1:22" ht="14.1" customHeight="1" x14ac:dyDescent="0.2">
      <c r="A70" s="429" t="s">
        <v>339</v>
      </c>
      <c r="B70" s="430"/>
      <c r="C70" s="66"/>
      <c r="D70" s="250">
        <f t="shared" si="0"/>
        <v>0</v>
      </c>
      <c r="E70" s="203">
        <f t="shared" si="7"/>
        <v>0</v>
      </c>
      <c r="F70" s="280"/>
      <c r="G70" s="203"/>
      <c r="H70" s="250"/>
      <c r="I70" s="63"/>
      <c r="J70" s="88"/>
      <c r="K70" s="88"/>
      <c r="L70" s="150" t="s">
        <v>167</v>
      </c>
      <c r="M70" s="150" t="s">
        <v>168</v>
      </c>
      <c r="N70" s="88"/>
      <c r="O70" s="49"/>
    </row>
    <row r="71" spans="1:22" ht="14.1" customHeight="1" x14ac:dyDescent="0.2">
      <c r="A71" s="429" t="s">
        <v>337</v>
      </c>
      <c r="B71" s="430"/>
      <c r="C71" s="66">
        <f>K4*6500</f>
        <v>6500</v>
      </c>
      <c r="D71" s="250">
        <f t="shared" si="0"/>
        <v>4.0625</v>
      </c>
      <c r="E71" s="203">
        <f t="shared" si="7"/>
        <v>6500</v>
      </c>
      <c r="F71" s="280"/>
      <c r="G71" s="203"/>
      <c r="H71" s="250"/>
      <c r="I71" s="63"/>
      <c r="J71" s="49" t="s">
        <v>170</v>
      </c>
      <c r="K71" s="151">
        <f>M37-M39</f>
        <v>463500</v>
      </c>
      <c r="L71" s="152">
        <f>12+K26</f>
        <v>21</v>
      </c>
      <c r="M71" s="104">
        <v>0.11</v>
      </c>
      <c r="N71" s="90">
        <f>((K71*M71)/12)*L71</f>
        <v>89223.75</v>
      </c>
      <c r="O71" s="49"/>
    </row>
    <row r="72" spans="1:22" ht="14.1" customHeight="1" x14ac:dyDescent="0.2">
      <c r="A72" s="429" t="s">
        <v>338</v>
      </c>
      <c r="B72" s="430"/>
      <c r="C72" s="66">
        <f>K4*3000</f>
        <v>3000</v>
      </c>
      <c r="D72" s="250">
        <f t="shared" si="0"/>
        <v>1.875</v>
      </c>
      <c r="E72" s="203">
        <f t="shared" si="7"/>
        <v>3000</v>
      </c>
      <c r="F72" s="280"/>
      <c r="G72" s="203"/>
      <c r="H72" s="250"/>
      <c r="I72" s="63"/>
      <c r="J72" s="88" t="s">
        <v>172</v>
      </c>
      <c r="K72" s="88"/>
      <c r="L72" s="88"/>
      <c r="M72" s="88"/>
      <c r="N72" s="153">
        <f>M65</f>
        <v>127917.7511457355</v>
      </c>
      <c r="O72" s="49"/>
    </row>
    <row r="73" spans="1:22" ht="14.1" customHeight="1" x14ac:dyDescent="0.2">
      <c r="A73" s="429" t="s">
        <v>340</v>
      </c>
      <c r="B73" s="430"/>
      <c r="C73" s="66">
        <f>K3*3.5</f>
        <v>5600</v>
      </c>
      <c r="D73" s="250">
        <f t="shared" si="0"/>
        <v>3.5</v>
      </c>
      <c r="E73" s="203">
        <f t="shared" si="7"/>
        <v>5600</v>
      </c>
      <c r="F73" s="280"/>
      <c r="G73" s="203"/>
      <c r="H73" s="250"/>
      <c r="I73" s="63"/>
      <c r="J73" s="49" t="s">
        <v>174</v>
      </c>
      <c r="N73" s="90">
        <f>N72-N71</f>
        <v>38694.001145735499</v>
      </c>
      <c r="O73" s="49"/>
    </row>
    <row r="74" spans="1:22" ht="14.1" customHeight="1" x14ac:dyDescent="0.2">
      <c r="A74" s="429" t="s">
        <v>342</v>
      </c>
      <c r="B74" s="430"/>
      <c r="C74" s="66">
        <f>K3*1</f>
        <v>1600</v>
      </c>
      <c r="D74" s="250">
        <f t="shared" si="0"/>
        <v>1</v>
      </c>
      <c r="E74" s="203">
        <f t="shared" si="7"/>
        <v>1600</v>
      </c>
      <c r="F74" s="280"/>
      <c r="G74" s="203"/>
      <c r="H74" s="250"/>
      <c r="I74" s="63"/>
      <c r="N74" s="90"/>
      <c r="O74" s="49"/>
    </row>
    <row r="75" spans="1:22" ht="14.1" customHeight="1" x14ac:dyDescent="0.2">
      <c r="A75" s="429" t="s">
        <v>341</v>
      </c>
      <c r="B75" s="430"/>
      <c r="C75" s="66">
        <f>K3*1.25</f>
        <v>2000</v>
      </c>
      <c r="D75" s="250">
        <f t="shared" si="0"/>
        <v>1.25</v>
      </c>
      <c r="E75" s="203">
        <f t="shared" si="7"/>
        <v>2000</v>
      </c>
      <c r="F75" s="280"/>
      <c r="G75" s="203"/>
      <c r="H75" s="250"/>
      <c r="I75" s="63"/>
      <c r="J75" s="154" t="s">
        <v>176</v>
      </c>
      <c r="L75" s="155" t="s">
        <v>167</v>
      </c>
      <c r="M75" s="155" t="s">
        <v>168</v>
      </c>
      <c r="O75" s="49"/>
    </row>
    <row r="76" spans="1:22" ht="14.1" customHeight="1" x14ac:dyDescent="0.2">
      <c r="A76" s="429" t="s">
        <v>343</v>
      </c>
      <c r="B76" s="430"/>
      <c r="C76" s="66"/>
      <c r="D76" s="250">
        <f t="shared" si="0"/>
        <v>0</v>
      </c>
      <c r="E76" s="203">
        <f t="shared" si="7"/>
        <v>0</v>
      </c>
      <c r="F76" s="280"/>
      <c r="G76" s="203"/>
      <c r="H76" s="250"/>
      <c r="I76" s="63"/>
      <c r="J76" s="98" t="s">
        <v>177</v>
      </c>
      <c r="K76" s="285">
        <f>K71</f>
        <v>463500</v>
      </c>
      <c r="L76" s="238">
        <f>L71</f>
        <v>21</v>
      </c>
      <c r="M76" s="156">
        <f>M71</f>
        <v>0.11</v>
      </c>
      <c r="N76" s="99">
        <f>((K76*M76)/12)*L76</f>
        <v>89223.75</v>
      </c>
      <c r="O76" s="49"/>
    </row>
    <row r="77" spans="1:22" ht="14.1" customHeight="1" thickBot="1" x14ac:dyDescent="0.25">
      <c r="A77" s="429" t="s">
        <v>345</v>
      </c>
      <c r="B77" s="430"/>
      <c r="C77" s="66">
        <f>K4*3000</f>
        <v>3000</v>
      </c>
      <c r="D77" s="250">
        <f t="shared" si="0"/>
        <v>1.875</v>
      </c>
      <c r="E77" s="203">
        <f t="shared" si="7"/>
        <v>3000</v>
      </c>
      <c r="F77" s="280"/>
      <c r="G77" s="203"/>
      <c r="H77" s="250"/>
      <c r="I77" s="63"/>
      <c r="J77" s="83" t="s">
        <v>179</v>
      </c>
      <c r="K77" s="83"/>
      <c r="L77" s="95">
        <v>0.4</v>
      </c>
      <c r="M77" s="83"/>
      <c r="N77" s="84">
        <f>N73*L77</f>
        <v>15477.600458294201</v>
      </c>
      <c r="O77" s="49"/>
    </row>
    <row r="78" spans="1:22" ht="14.1" customHeight="1" thickTop="1" x14ac:dyDescent="0.2">
      <c r="A78" s="431" t="s">
        <v>352</v>
      </c>
      <c r="B78" s="431"/>
      <c r="C78" s="66">
        <f>K4*2500</f>
        <v>2500</v>
      </c>
      <c r="D78" s="250">
        <f t="shared" si="0"/>
        <v>1.5625</v>
      </c>
      <c r="E78" s="203">
        <f t="shared" si="7"/>
        <v>2500</v>
      </c>
      <c r="F78" s="280"/>
      <c r="G78" s="203"/>
      <c r="H78" s="250"/>
      <c r="I78" s="63"/>
      <c r="J78" s="49" t="s">
        <v>181</v>
      </c>
      <c r="N78" s="90">
        <f>SUM(N76:N77)</f>
        <v>104701.3504582942</v>
      </c>
      <c r="O78" s="49"/>
    </row>
    <row r="79" spans="1:22" ht="14.1" customHeight="1" x14ac:dyDescent="0.2">
      <c r="A79" s="431" t="s">
        <v>140</v>
      </c>
      <c r="B79" s="431"/>
      <c r="C79" s="66">
        <f>K4*6000</f>
        <v>6000</v>
      </c>
      <c r="D79" s="250">
        <f t="shared" ref="D79:D80" si="8">C79/$K$3</f>
        <v>3.75</v>
      </c>
      <c r="E79" s="203">
        <f t="shared" si="7"/>
        <v>6000</v>
      </c>
      <c r="F79" s="280"/>
      <c r="G79" s="203"/>
      <c r="H79" s="250"/>
      <c r="I79" s="63"/>
      <c r="J79" s="49" t="s">
        <v>183</v>
      </c>
      <c r="N79" s="157">
        <f>IFERROR(N78/K76,0)</f>
        <v>0.22589288124766818</v>
      </c>
      <c r="O79" s="49"/>
    </row>
    <row r="80" spans="1:22" ht="14.1" customHeight="1" x14ac:dyDescent="0.2">
      <c r="A80" s="448" t="s">
        <v>110</v>
      </c>
      <c r="B80" s="448"/>
      <c r="C80" s="256">
        <f>K4*1000</f>
        <v>1000</v>
      </c>
      <c r="D80" s="250">
        <f t="shared" si="8"/>
        <v>0.625</v>
      </c>
      <c r="E80" s="203">
        <f t="shared" si="7"/>
        <v>1000</v>
      </c>
      <c r="F80" s="280"/>
      <c r="G80" s="203"/>
      <c r="H80" s="250"/>
      <c r="I80" s="63"/>
      <c r="O80" s="49"/>
    </row>
    <row r="81" spans="1:16" ht="14.1" customHeight="1" x14ac:dyDescent="0.2">
      <c r="A81" s="449" t="s">
        <v>348</v>
      </c>
      <c r="B81" s="450"/>
      <c r="C81" s="264"/>
      <c r="D81" s="265"/>
      <c r="E81" s="266"/>
      <c r="F81" s="266"/>
      <c r="G81" s="266"/>
      <c r="H81" s="267"/>
      <c r="I81" s="63"/>
      <c r="J81" s="154" t="s">
        <v>185</v>
      </c>
      <c r="L81" s="158" t="s">
        <v>167</v>
      </c>
      <c r="M81" s="158" t="s">
        <v>168</v>
      </c>
      <c r="O81" s="49"/>
    </row>
    <row r="82" spans="1:16" ht="14.1" customHeight="1" x14ac:dyDescent="0.2">
      <c r="A82" s="445" t="s">
        <v>368</v>
      </c>
      <c r="B82" s="446"/>
      <c r="C82" s="66">
        <f>K4*2500</f>
        <v>2500</v>
      </c>
      <c r="D82" s="67">
        <f t="shared" ref="D82:D88" si="9">C82/$K$3</f>
        <v>1.5625</v>
      </c>
      <c r="E82" s="68">
        <f t="shared" ref="E82:E90" si="10">C82/$K$4</f>
        <v>2500</v>
      </c>
      <c r="F82" s="279"/>
      <c r="G82" s="68"/>
      <c r="H82" s="67"/>
      <c r="I82" s="63"/>
      <c r="J82" s="98" t="s">
        <v>187</v>
      </c>
      <c r="K82" s="285">
        <f>M39</f>
        <v>51500</v>
      </c>
      <c r="L82" s="238">
        <f>L76</f>
        <v>21</v>
      </c>
      <c r="M82" s="156">
        <v>0</v>
      </c>
      <c r="N82" s="99">
        <f>((K82*M82)/12)*L82</f>
        <v>0</v>
      </c>
      <c r="O82" s="49"/>
    </row>
    <row r="83" spans="1:16" ht="14.1" customHeight="1" x14ac:dyDescent="0.2">
      <c r="A83" s="440" t="s">
        <v>363</v>
      </c>
      <c r="B83" s="441"/>
      <c r="C83" s="66">
        <f>K4*2000</f>
        <v>2000</v>
      </c>
      <c r="D83" s="67">
        <f t="shared" si="9"/>
        <v>1.25</v>
      </c>
      <c r="E83" s="68">
        <f t="shared" si="10"/>
        <v>2000</v>
      </c>
      <c r="F83" s="279"/>
      <c r="G83" s="68"/>
      <c r="H83" s="69"/>
      <c r="I83" s="63"/>
      <c r="J83" s="59" t="s">
        <v>188</v>
      </c>
      <c r="L83" s="239"/>
      <c r="N83" s="90">
        <f>C12</f>
        <v>15000</v>
      </c>
      <c r="O83" s="49"/>
    </row>
    <row r="84" spans="1:16" ht="14.1" customHeight="1" thickBot="1" x14ac:dyDescent="0.25">
      <c r="A84" s="440" t="s">
        <v>362</v>
      </c>
      <c r="B84" s="441"/>
      <c r="C84" s="66"/>
      <c r="D84" s="67">
        <f t="shared" si="9"/>
        <v>0</v>
      </c>
      <c r="E84" s="68">
        <f t="shared" si="10"/>
        <v>0</v>
      </c>
      <c r="F84" s="279"/>
      <c r="G84" s="68"/>
      <c r="H84" s="69"/>
      <c r="I84" s="63"/>
      <c r="J84" s="83" t="s">
        <v>189</v>
      </c>
      <c r="K84" s="83"/>
      <c r="L84" s="240">
        <f>100%-L77</f>
        <v>0.6</v>
      </c>
      <c r="M84" s="83"/>
      <c r="N84" s="84">
        <f>L84*N73</f>
        <v>23216.400687441299</v>
      </c>
      <c r="O84" s="49"/>
    </row>
    <row r="85" spans="1:16" ht="14.1" customHeight="1" thickTop="1" x14ac:dyDescent="0.2">
      <c r="A85" s="440" t="s">
        <v>350</v>
      </c>
      <c r="B85" s="441"/>
      <c r="C85" s="66">
        <v>1500</v>
      </c>
      <c r="D85" s="67">
        <f t="shared" si="9"/>
        <v>0.9375</v>
      </c>
      <c r="E85" s="68">
        <f t="shared" si="10"/>
        <v>1500</v>
      </c>
      <c r="F85" s="279"/>
      <c r="G85" s="68"/>
      <c r="H85" s="69"/>
      <c r="I85" s="51"/>
      <c r="J85" s="49" t="s">
        <v>191</v>
      </c>
      <c r="N85" s="90">
        <f>SUM(N82:N84)</f>
        <v>38216.400687441303</v>
      </c>
      <c r="O85" s="49"/>
    </row>
    <row r="86" spans="1:16" ht="14.1" customHeight="1" x14ac:dyDescent="0.2">
      <c r="A86" s="440" t="s">
        <v>351</v>
      </c>
      <c r="B86" s="441"/>
      <c r="C86" s="66">
        <v>2500</v>
      </c>
      <c r="D86" s="67">
        <f t="shared" si="9"/>
        <v>1.5625</v>
      </c>
      <c r="E86" s="68">
        <f t="shared" si="10"/>
        <v>2500</v>
      </c>
      <c r="F86" s="279"/>
      <c r="G86" s="68"/>
      <c r="H86" s="69"/>
      <c r="I86" s="51"/>
      <c r="O86" s="49"/>
    </row>
    <row r="87" spans="1:16" ht="14.1" customHeight="1" x14ac:dyDescent="0.2">
      <c r="A87" s="447" t="s">
        <v>147</v>
      </c>
      <c r="B87" s="447"/>
      <c r="C87" s="66"/>
      <c r="D87" s="67">
        <f t="shared" si="9"/>
        <v>0</v>
      </c>
      <c r="E87" s="68">
        <f t="shared" si="10"/>
        <v>0</v>
      </c>
      <c r="F87" s="279"/>
      <c r="G87" s="68"/>
      <c r="H87" s="69"/>
      <c r="I87" s="51"/>
      <c r="J87" s="165" t="s">
        <v>193</v>
      </c>
      <c r="K87" s="76" t="s">
        <v>194</v>
      </c>
      <c r="L87" s="76" t="s">
        <v>195</v>
      </c>
      <c r="M87" s="76" t="s">
        <v>266</v>
      </c>
      <c r="N87" s="76" t="s">
        <v>196</v>
      </c>
      <c r="O87" s="76" t="s">
        <v>197</v>
      </c>
    </row>
    <row r="88" spans="1:16" ht="14.1" customHeight="1" x14ac:dyDescent="0.2">
      <c r="A88" s="447" t="s">
        <v>147</v>
      </c>
      <c r="B88" s="447"/>
      <c r="C88" s="66"/>
      <c r="D88" s="67">
        <f t="shared" si="9"/>
        <v>0</v>
      </c>
      <c r="E88" s="68">
        <f t="shared" si="10"/>
        <v>0</v>
      </c>
      <c r="F88" s="279"/>
      <c r="G88" s="68"/>
      <c r="H88" s="69"/>
      <c r="I88" s="51"/>
      <c r="J88" s="168" t="s">
        <v>198</v>
      </c>
      <c r="K88" s="93">
        <f>K76</f>
        <v>463500</v>
      </c>
      <c r="L88" s="235">
        <f t="shared" ref="L88:L96" si="11">IFERROR(K88/$K$97,0)</f>
        <v>0.9</v>
      </c>
      <c r="M88" s="235">
        <f>L77</f>
        <v>0.4</v>
      </c>
      <c r="N88" s="79">
        <f>N78</f>
        <v>104701.3504582942</v>
      </c>
      <c r="O88" s="213">
        <f t="shared" ref="O88:O96" si="12">IFERROR(N88/K88,0)</f>
        <v>0.22589288124766818</v>
      </c>
    </row>
    <row r="89" spans="1:16" ht="14.1" customHeight="1" x14ac:dyDescent="0.2">
      <c r="A89" s="116" t="s">
        <v>151</v>
      </c>
      <c r="B89" s="283">
        <v>0.03</v>
      </c>
      <c r="C89" s="66">
        <f>SUM(C12:C88)*B89</f>
        <v>9604.5</v>
      </c>
      <c r="D89" s="67">
        <f>C89/$K$3</f>
        <v>6.0028125000000001</v>
      </c>
      <c r="E89" s="68">
        <f t="shared" si="10"/>
        <v>9604.5</v>
      </c>
      <c r="F89" s="279"/>
      <c r="G89" s="68"/>
      <c r="H89" s="69"/>
      <c r="I89" s="51"/>
      <c r="J89" s="168" t="s">
        <v>199</v>
      </c>
      <c r="K89" s="93">
        <f>K82</f>
        <v>51500</v>
      </c>
      <c r="L89" s="235">
        <f t="shared" si="11"/>
        <v>0.1</v>
      </c>
      <c r="M89" s="235">
        <f>L84</f>
        <v>0.6</v>
      </c>
      <c r="N89" s="79">
        <f>N84</f>
        <v>23216.400687441299</v>
      </c>
      <c r="O89" s="213">
        <f t="shared" si="12"/>
        <v>0.45080389684352035</v>
      </c>
    </row>
    <row r="90" spans="1:16" ht="14.1" customHeight="1" x14ac:dyDescent="0.2">
      <c r="A90" s="117" t="s">
        <v>152</v>
      </c>
      <c r="B90" s="118" t="s">
        <v>153</v>
      </c>
      <c r="C90" s="119">
        <f>SUM(C12:C89)*B90</f>
        <v>34624.222499999996</v>
      </c>
      <c r="D90" s="120">
        <f>C90/$K$3</f>
        <v>21.640139062499998</v>
      </c>
      <c r="E90" s="121">
        <f t="shared" si="10"/>
        <v>34624.222499999996</v>
      </c>
      <c r="F90" s="275"/>
      <c r="G90" s="68"/>
      <c r="H90" s="120">
        <v>0</v>
      </c>
      <c r="I90" s="63"/>
      <c r="J90" s="168" t="s">
        <v>201</v>
      </c>
      <c r="K90" s="93">
        <v>0</v>
      </c>
      <c r="L90" s="235">
        <f t="shared" si="11"/>
        <v>0</v>
      </c>
      <c r="M90" s="235">
        <f t="shared" ref="M90:M96" si="13">K90/SUM($K$88:$K$96)*$L$77</f>
        <v>0</v>
      </c>
      <c r="N90" s="79">
        <f t="shared" ref="N90:N96" si="14">L90*$N$78</f>
        <v>0</v>
      </c>
      <c r="O90" s="213">
        <f t="shared" si="12"/>
        <v>0</v>
      </c>
      <c r="P90" s="63"/>
    </row>
    <row r="91" spans="1:16" ht="14.1" customHeight="1" x14ac:dyDescent="0.2">
      <c r="A91" s="451" t="s">
        <v>154</v>
      </c>
      <c r="B91" s="452"/>
      <c r="C91" s="123">
        <f>SUM(C12:C90)</f>
        <v>364378.72249999997</v>
      </c>
      <c r="D91" s="124">
        <f>SUM(D12:D90)</f>
        <v>227.7367015625</v>
      </c>
      <c r="E91" s="125">
        <f>SUM(E12:E90)</f>
        <v>364378.72249999997</v>
      </c>
      <c r="F91" s="275"/>
      <c r="G91" s="68"/>
      <c r="H91" s="124">
        <f>SUM(H12:H86)</f>
        <v>0</v>
      </c>
      <c r="I91" s="63"/>
      <c r="J91" s="168" t="s">
        <v>202</v>
      </c>
      <c r="K91" s="93">
        <v>0</v>
      </c>
      <c r="L91" s="235">
        <f t="shared" si="11"/>
        <v>0</v>
      </c>
      <c r="M91" s="235">
        <f t="shared" si="13"/>
        <v>0</v>
      </c>
      <c r="N91" s="79">
        <f t="shared" si="14"/>
        <v>0</v>
      </c>
      <c r="O91" s="213">
        <f t="shared" si="12"/>
        <v>0</v>
      </c>
      <c r="P91" s="63"/>
    </row>
    <row r="92" spans="1:16" ht="14.1" customHeight="1" x14ac:dyDescent="0.2">
      <c r="A92" s="129" t="s">
        <v>156</v>
      </c>
      <c r="B92" s="130"/>
      <c r="C92" s="131"/>
      <c r="D92" s="132"/>
      <c r="E92" s="131"/>
      <c r="F92" s="131"/>
      <c r="G92" s="131"/>
      <c r="H92" s="132"/>
      <c r="I92" s="63"/>
      <c r="J92" s="168" t="s">
        <v>203</v>
      </c>
      <c r="K92" s="93">
        <v>0</v>
      </c>
      <c r="L92" s="235">
        <f t="shared" si="11"/>
        <v>0</v>
      </c>
      <c r="M92" s="235">
        <f t="shared" si="13"/>
        <v>0</v>
      </c>
      <c r="N92" s="79">
        <f t="shared" si="14"/>
        <v>0</v>
      </c>
      <c r="O92" s="213">
        <f t="shared" si="12"/>
        <v>0</v>
      </c>
      <c r="P92" s="63"/>
    </row>
    <row r="93" spans="1:16" ht="14.1" customHeight="1" x14ac:dyDescent="0.2">
      <c r="A93" s="136" t="s">
        <v>289</v>
      </c>
      <c r="B93" s="137">
        <v>0</v>
      </c>
      <c r="C93" s="138">
        <f>(K3*92%)*B93</f>
        <v>0</v>
      </c>
      <c r="D93" s="120">
        <f t="shared" ref="D93:D116" si="15">C93/$K$3</f>
        <v>0</v>
      </c>
      <c r="E93" s="121">
        <f t="shared" ref="E93:E116" si="16">C93/$K$4</f>
        <v>0</v>
      </c>
      <c r="F93" s="275"/>
      <c r="G93" s="121"/>
      <c r="H93" s="139"/>
      <c r="I93" s="63"/>
      <c r="J93" s="168" t="s">
        <v>205</v>
      </c>
      <c r="K93" s="93">
        <v>0</v>
      </c>
      <c r="L93" s="235">
        <f t="shared" si="11"/>
        <v>0</v>
      </c>
      <c r="M93" s="235">
        <f t="shared" si="13"/>
        <v>0</v>
      </c>
      <c r="N93" s="79">
        <f t="shared" si="14"/>
        <v>0</v>
      </c>
      <c r="O93" s="213">
        <f t="shared" si="12"/>
        <v>0</v>
      </c>
    </row>
    <row r="94" spans="1:16" ht="14.1" customHeight="1" x14ac:dyDescent="0.2">
      <c r="A94" s="136" t="s">
        <v>159</v>
      </c>
      <c r="B94" s="284">
        <v>7.4999999999999997E-3</v>
      </c>
      <c r="C94" s="138">
        <f>SUM(C12:C89)*B94</f>
        <v>2473.1587500000001</v>
      </c>
      <c r="D94" s="120">
        <f t="shared" si="15"/>
        <v>1.54572421875</v>
      </c>
      <c r="E94" s="121">
        <f t="shared" si="16"/>
        <v>2473.1587500000001</v>
      </c>
      <c r="F94" s="275"/>
      <c r="G94" s="121"/>
      <c r="H94" s="139"/>
      <c r="I94" s="63"/>
      <c r="J94" s="168" t="s">
        <v>206</v>
      </c>
      <c r="K94" s="93">
        <v>0</v>
      </c>
      <c r="L94" s="235">
        <f t="shared" si="11"/>
        <v>0</v>
      </c>
      <c r="M94" s="235">
        <f t="shared" si="13"/>
        <v>0</v>
      </c>
      <c r="N94" s="79">
        <f t="shared" si="14"/>
        <v>0</v>
      </c>
      <c r="O94" s="213">
        <f t="shared" si="12"/>
        <v>0</v>
      </c>
    </row>
    <row r="95" spans="1:16" ht="14.1" customHeight="1" x14ac:dyDescent="0.2">
      <c r="A95" s="298" t="s">
        <v>161</v>
      </c>
      <c r="B95" s="140" t="s">
        <v>162</v>
      </c>
      <c r="C95" s="138">
        <f>SUM(C12:C89)*B95</f>
        <v>2262.1158700000001</v>
      </c>
      <c r="D95" s="120">
        <f t="shared" si="15"/>
        <v>1.4138224187500001</v>
      </c>
      <c r="E95" s="121">
        <f t="shared" si="16"/>
        <v>2262.1158700000001</v>
      </c>
      <c r="F95" s="275"/>
      <c r="G95" s="121"/>
      <c r="H95" s="139"/>
      <c r="I95" s="63"/>
      <c r="J95" s="168" t="s">
        <v>207</v>
      </c>
      <c r="K95" s="93">
        <v>0</v>
      </c>
      <c r="L95" s="235">
        <f t="shared" si="11"/>
        <v>0</v>
      </c>
      <c r="M95" s="235">
        <f t="shared" si="13"/>
        <v>0</v>
      </c>
      <c r="N95" s="79">
        <f t="shared" si="14"/>
        <v>0</v>
      </c>
      <c r="O95" s="213">
        <f t="shared" si="12"/>
        <v>0</v>
      </c>
    </row>
    <row r="96" spans="1:16" ht="14.1" customHeight="1" thickBot="1" x14ac:dyDescent="0.25">
      <c r="A96" s="440" t="s">
        <v>164</v>
      </c>
      <c r="B96" s="441"/>
      <c r="C96" s="66">
        <v>2500</v>
      </c>
      <c r="D96" s="120">
        <f t="shared" si="15"/>
        <v>1.5625</v>
      </c>
      <c r="E96" s="149">
        <f t="shared" si="16"/>
        <v>2500</v>
      </c>
      <c r="F96" s="276"/>
      <c r="G96" s="149"/>
      <c r="H96" s="139"/>
      <c r="I96" s="63"/>
      <c r="J96" s="173"/>
      <c r="K96" s="113">
        <v>0</v>
      </c>
      <c r="L96" s="236">
        <f t="shared" si="11"/>
        <v>0</v>
      </c>
      <c r="M96" s="237">
        <f t="shared" si="13"/>
        <v>0</v>
      </c>
      <c r="N96" s="85">
        <f t="shared" si="14"/>
        <v>0</v>
      </c>
      <c r="O96" s="214">
        <f t="shared" si="12"/>
        <v>0</v>
      </c>
    </row>
    <row r="97" spans="1:19" ht="14.1" customHeight="1" thickTop="1" x14ac:dyDescent="0.2">
      <c r="A97" s="440" t="s">
        <v>364</v>
      </c>
      <c r="B97" s="441"/>
      <c r="C97" s="66">
        <f>K4*4000</f>
        <v>4000</v>
      </c>
      <c r="D97" s="120">
        <f t="shared" si="15"/>
        <v>2.5</v>
      </c>
      <c r="E97" s="121">
        <f t="shared" si="16"/>
        <v>4000</v>
      </c>
      <c r="F97" s="275"/>
      <c r="G97" s="121"/>
      <c r="H97" s="139"/>
      <c r="I97" s="63"/>
      <c r="K97" s="79">
        <f>SUM(K88:K96)</f>
        <v>515000</v>
      </c>
      <c r="L97" s="212">
        <f>SUM(L88:L96)</f>
        <v>1</v>
      </c>
      <c r="M97" s="212">
        <f>SUM(M88:M96)</f>
        <v>1</v>
      </c>
      <c r="N97" s="79">
        <f>SUM(N88:N96)</f>
        <v>127917.7511457355</v>
      </c>
      <c r="O97" s="157"/>
    </row>
    <row r="98" spans="1:19" ht="14.1" customHeight="1" x14ac:dyDescent="0.2">
      <c r="A98" s="440" t="s">
        <v>355</v>
      </c>
      <c r="B98" s="441"/>
      <c r="C98" s="66">
        <v>12000</v>
      </c>
      <c r="D98" s="120">
        <f t="shared" si="15"/>
        <v>7.5</v>
      </c>
      <c r="E98" s="121">
        <f t="shared" si="16"/>
        <v>12000</v>
      </c>
      <c r="F98" s="275"/>
      <c r="G98" s="121"/>
      <c r="H98" s="139"/>
      <c r="I98" s="63"/>
    </row>
    <row r="99" spans="1:19" ht="14.1" customHeight="1" x14ac:dyDescent="0.2">
      <c r="A99" s="440" t="s">
        <v>166</v>
      </c>
      <c r="B99" s="441"/>
      <c r="C99" s="66">
        <f>7500*K4</f>
        <v>7500</v>
      </c>
      <c r="D99" s="120">
        <f t="shared" si="15"/>
        <v>4.6875</v>
      </c>
      <c r="E99" s="121">
        <f t="shared" si="16"/>
        <v>7500</v>
      </c>
      <c r="F99" s="275"/>
      <c r="G99" s="121"/>
      <c r="H99" s="139"/>
      <c r="I99" s="63"/>
      <c r="O99" s="49"/>
    </row>
    <row r="100" spans="1:19" ht="14.1" customHeight="1" x14ac:dyDescent="0.2">
      <c r="A100" s="440" t="s">
        <v>169</v>
      </c>
      <c r="B100" s="441"/>
      <c r="C100" s="66">
        <f>3000*K4</f>
        <v>3000</v>
      </c>
      <c r="D100" s="120">
        <f t="shared" si="15"/>
        <v>1.875</v>
      </c>
      <c r="E100" s="121">
        <f t="shared" si="16"/>
        <v>3000</v>
      </c>
      <c r="F100" s="275"/>
      <c r="G100" s="121"/>
      <c r="H100" s="139"/>
      <c r="O100" s="49"/>
    </row>
    <row r="101" spans="1:19" ht="14.1" customHeight="1" x14ac:dyDescent="0.2">
      <c r="A101" s="440" t="s">
        <v>171</v>
      </c>
      <c r="B101" s="441"/>
      <c r="C101" s="66">
        <f>1800*K4</f>
        <v>1800</v>
      </c>
      <c r="D101" s="120">
        <f t="shared" si="15"/>
        <v>1.125</v>
      </c>
      <c r="E101" s="121">
        <f t="shared" si="16"/>
        <v>1800</v>
      </c>
      <c r="F101" s="275"/>
      <c r="G101" s="121"/>
      <c r="H101" s="139"/>
      <c r="O101" s="49"/>
      <c r="R101" s="175"/>
      <c r="S101" s="63"/>
    </row>
    <row r="102" spans="1:19" ht="14.1" customHeight="1" x14ac:dyDescent="0.2">
      <c r="A102" s="440" t="s">
        <v>353</v>
      </c>
      <c r="B102" s="441"/>
      <c r="C102" s="66">
        <v>4000</v>
      </c>
      <c r="D102" s="120">
        <f t="shared" si="15"/>
        <v>2.5</v>
      </c>
      <c r="E102" s="121">
        <f t="shared" si="16"/>
        <v>4000</v>
      </c>
      <c r="F102" s="275"/>
      <c r="G102" s="121"/>
      <c r="H102" s="244"/>
      <c r="O102" s="49"/>
      <c r="R102" s="175"/>
      <c r="S102" s="63"/>
    </row>
    <row r="103" spans="1:19" ht="14.1" customHeight="1" x14ac:dyDescent="0.2">
      <c r="A103" s="440" t="s">
        <v>354</v>
      </c>
      <c r="B103" s="441"/>
      <c r="C103" s="66">
        <v>4000</v>
      </c>
      <c r="D103" s="120">
        <f t="shared" si="15"/>
        <v>2.5</v>
      </c>
      <c r="E103" s="121">
        <f t="shared" si="16"/>
        <v>4000</v>
      </c>
      <c r="F103" s="275"/>
      <c r="G103" s="121"/>
      <c r="H103" s="139"/>
      <c r="O103" s="49"/>
      <c r="R103" s="175"/>
      <c r="S103" s="63"/>
    </row>
    <row r="104" spans="1:19" ht="14.1" customHeight="1" x14ac:dyDescent="0.2">
      <c r="A104" s="440" t="s">
        <v>173</v>
      </c>
      <c r="B104" s="441"/>
      <c r="C104" s="66">
        <v>1550</v>
      </c>
      <c r="D104" s="120">
        <f t="shared" si="15"/>
        <v>0.96875</v>
      </c>
      <c r="E104" s="121">
        <f t="shared" si="16"/>
        <v>1550</v>
      </c>
      <c r="F104" s="275"/>
      <c r="G104" s="121"/>
      <c r="H104" s="139"/>
      <c r="O104" s="49"/>
      <c r="P104" s="63"/>
      <c r="R104" s="175"/>
      <c r="S104" s="63"/>
    </row>
    <row r="105" spans="1:19" ht="14.1" customHeight="1" x14ac:dyDescent="0.2">
      <c r="A105" s="440" t="s">
        <v>175</v>
      </c>
      <c r="B105" s="441"/>
      <c r="C105" s="66">
        <f>K4*1200</f>
        <v>1200</v>
      </c>
      <c r="D105" s="120">
        <f t="shared" si="15"/>
        <v>0.75</v>
      </c>
      <c r="E105" s="121">
        <f t="shared" si="16"/>
        <v>1200</v>
      </c>
      <c r="F105" s="275"/>
      <c r="G105" s="121"/>
      <c r="H105" s="139"/>
      <c r="J105" s="63"/>
      <c r="K105" s="63"/>
      <c r="L105" s="63"/>
      <c r="M105" s="63"/>
      <c r="N105" s="63"/>
      <c r="O105" s="63"/>
      <c r="P105" s="63"/>
      <c r="Q105" s="63"/>
      <c r="R105" s="175"/>
      <c r="S105" s="63"/>
    </row>
    <row r="106" spans="1:19" ht="14.1" customHeight="1" x14ac:dyDescent="0.2">
      <c r="A106" s="440" t="s">
        <v>378</v>
      </c>
      <c r="B106" s="441"/>
      <c r="C106" s="66">
        <v>0</v>
      </c>
      <c r="D106" s="120">
        <f t="shared" si="15"/>
        <v>0</v>
      </c>
      <c r="E106" s="121">
        <f t="shared" si="16"/>
        <v>0</v>
      </c>
      <c r="F106" s="275"/>
      <c r="G106" s="121"/>
      <c r="H106" s="139"/>
      <c r="J106" s="63"/>
      <c r="K106" s="63"/>
      <c r="L106" s="63"/>
      <c r="M106" s="63"/>
      <c r="N106" s="63"/>
      <c r="O106" s="63"/>
      <c r="P106" s="63"/>
      <c r="Q106" s="63"/>
      <c r="R106" s="175"/>
      <c r="S106" s="63"/>
    </row>
    <row r="107" spans="1:19" ht="14.1" customHeight="1" x14ac:dyDescent="0.2">
      <c r="A107" s="440" t="s">
        <v>288</v>
      </c>
      <c r="B107" s="441"/>
      <c r="C107" s="66">
        <f>K4*1200</f>
        <v>1200</v>
      </c>
      <c r="D107" s="120">
        <f t="shared" si="15"/>
        <v>0.75</v>
      </c>
      <c r="E107" s="121">
        <f t="shared" si="16"/>
        <v>1200</v>
      </c>
      <c r="F107" s="275"/>
      <c r="G107" s="121"/>
      <c r="H107" s="139"/>
      <c r="J107" s="63"/>
      <c r="K107" s="63"/>
      <c r="L107" s="63"/>
      <c r="M107" s="63"/>
      <c r="N107" s="63"/>
      <c r="O107" s="63"/>
      <c r="P107" s="63"/>
      <c r="Q107" s="63"/>
      <c r="R107" s="175"/>
      <c r="S107" s="63"/>
    </row>
    <row r="108" spans="1:19" ht="14.1" customHeight="1" x14ac:dyDescent="0.2">
      <c r="A108" s="440" t="s">
        <v>178</v>
      </c>
      <c r="B108" s="441"/>
      <c r="C108" s="66">
        <f>((1%*M14)/12)*L71</f>
        <v>3500</v>
      </c>
      <c r="D108" s="120">
        <f t="shared" si="15"/>
        <v>2.1875</v>
      </c>
      <c r="E108" s="121">
        <f t="shared" si="16"/>
        <v>3500</v>
      </c>
      <c r="F108" s="275"/>
      <c r="G108" s="121"/>
      <c r="H108" s="139"/>
      <c r="J108" s="63"/>
      <c r="K108" s="63"/>
      <c r="L108" s="63"/>
      <c r="M108" s="63"/>
      <c r="N108" s="63"/>
      <c r="O108" s="63"/>
      <c r="P108" s="63"/>
      <c r="Q108" s="63"/>
      <c r="R108" s="175"/>
      <c r="S108" s="63"/>
    </row>
    <row r="109" spans="1:19" ht="14.1" customHeight="1" x14ac:dyDescent="0.2">
      <c r="A109" s="440" t="s">
        <v>180</v>
      </c>
      <c r="B109" s="441"/>
      <c r="C109" s="66">
        <v>8500</v>
      </c>
      <c r="D109" s="120">
        <f t="shared" si="15"/>
        <v>5.3125</v>
      </c>
      <c r="E109" s="121">
        <f t="shared" si="16"/>
        <v>8500</v>
      </c>
      <c r="F109" s="275"/>
      <c r="G109" s="121"/>
      <c r="H109" s="139"/>
      <c r="J109" s="63"/>
      <c r="K109" s="63"/>
      <c r="L109" s="63"/>
      <c r="M109" s="63"/>
      <c r="N109" s="63"/>
      <c r="O109" s="63"/>
      <c r="P109" s="63"/>
      <c r="Q109" s="63"/>
      <c r="R109" s="175"/>
      <c r="S109" s="63"/>
    </row>
    <row r="110" spans="1:19" ht="14.1" customHeight="1" x14ac:dyDescent="0.2">
      <c r="A110" s="440" t="s">
        <v>182</v>
      </c>
      <c r="B110" s="441"/>
      <c r="C110" s="66">
        <v>5000</v>
      </c>
      <c r="D110" s="120">
        <f t="shared" si="15"/>
        <v>3.125</v>
      </c>
      <c r="E110" s="121">
        <f t="shared" si="16"/>
        <v>5000</v>
      </c>
      <c r="F110" s="275"/>
      <c r="G110" s="121"/>
      <c r="H110" s="139"/>
      <c r="J110" s="63"/>
      <c r="K110" s="63"/>
      <c r="L110" s="63"/>
      <c r="M110" s="63"/>
      <c r="N110" s="63"/>
      <c r="O110" s="63"/>
      <c r="P110" s="63"/>
      <c r="Q110" s="63"/>
      <c r="R110" s="175"/>
      <c r="S110" s="63"/>
    </row>
    <row r="111" spans="1:19" ht="14.1" customHeight="1" x14ac:dyDescent="0.2">
      <c r="A111" s="440" t="s">
        <v>184</v>
      </c>
      <c r="B111" s="441"/>
      <c r="C111" s="66">
        <v>3000</v>
      </c>
      <c r="D111" s="120">
        <f t="shared" si="15"/>
        <v>1.875</v>
      </c>
      <c r="E111" s="121">
        <f t="shared" si="16"/>
        <v>3000</v>
      </c>
      <c r="F111" s="275"/>
      <c r="G111" s="121"/>
      <c r="H111" s="139"/>
      <c r="J111" s="63"/>
      <c r="K111" s="63"/>
      <c r="L111" s="63"/>
      <c r="M111" s="63"/>
      <c r="N111" s="63"/>
      <c r="O111" s="63"/>
      <c r="P111" s="63"/>
      <c r="Q111" s="63"/>
      <c r="R111" s="175"/>
      <c r="S111" s="63"/>
    </row>
    <row r="112" spans="1:19" ht="14.1" customHeight="1" x14ac:dyDescent="0.2">
      <c r="A112" s="440" t="s">
        <v>186</v>
      </c>
      <c r="B112" s="441"/>
      <c r="C112" s="66">
        <f>K4*1000</f>
        <v>1000</v>
      </c>
      <c r="D112" s="120">
        <f t="shared" si="15"/>
        <v>0.625</v>
      </c>
      <c r="E112" s="121">
        <f t="shared" si="16"/>
        <v>1000</v>
      </c>
      <c r="F112" s="275"/>
      <c r="G112" s="121"/>
      <c r="H112" s="139"/>
      <c r="J112" s="63"/>
      <c r="K112" s="63"/>
      <c r="L112" s="63"/>
      <c r="M112" s="63"/>
      <c r="N112" s="63"/>
      <c r="O112" s="63"/>
      <c r="P112" s="63"/>
      <c r="Q112" s="63"/>
      <c r="R112" s="175"/>
      <c r="S112" s="63"/>
    </row>
    <row r="113" spans="1:19" ht="14.1" customHeight="1" x14ac:dyDescent="0.2">
      <c r="A113" s="299" t="s">
        <v>311</v>
      </c>
      <c r="B113" s="300"/>
      <c r="C113" s="243">
        <f>K4*6500-13000</f>
        <v>-6500</v>
      </c>
      <c r="D113" s="120">
        <f t="shared" si="15"/>
        <v>-4.0625</v>
      </c>
      <c r="E113" s="121">
        <f t="shared" si="16"/>
        <v>-6500</v>
      </c>
      <c r="F113" s="275"/>
      <c r="G113" s="121"/>
      <c r="H113" s="244"/>
      <c r="J113" s="63"/>
      <c r="K113" s="63"/>
      <c r="L113" s="63"/>
      <c r="M113" s="63"/>
      <c r="N113" s="63"/>
      <c r="O113" s="63"/>
      <c r="P113" s="63"/>
      <c r="Q113" s="63"/>
      <c r="R113" s="175"/>
      <c r="S113" s="63"/>
    </row>
    <row r="114" spans="1:19" ht="14.1" customHeight="1" x14ac:dyDescent="0.2">
      <c r="A114" s="299" t="s">
        <v>356</v>
      </c>
      <c r="B114" s="300"/>
      <c r="C114" s="256">
        <v>10000</v>
      </c>
      <c r="D114" s="120">
        <f t="shared" si="15"/>
        <v>6.25</v>
      </c>
      <c r="E114" s="121">
        <f t="shared" si="16"/>
        <v>10000</v>
      </c>
      <c r="F114" s="275"/>
      <c r="G114" s="121"/>
      <c r="H114" s="244"/>
      <c r="J114" s="63"/>
      <c r="K114" s="63"/>
      <c r="L114" s="63"/>
      <c r="M114" s="63"/>
      <c r="N114" s="63"/>
      <c r="O114" s="63"/>
      <c r="P114" s="63"/>
      <c r="Q114" s="63"/>
      <c r="R114" s="175"/>
      <c r="S114" s="63"/>
    </row>
    <row r="115" spans="1:19" ht="14.1" customHeight="1" x14ac:dyDescent="0.2">
      <c r="A115" s="296" t="s">
        <v>147</v>
      </c>
      <c r="B115" s="297"/>
      <c r="C115" s="243"/>
      <c r="D115" s="244">
        <f t="shared" si="15"/>
        <v>0</v>
      </c>
      <c r="E115" s="199">
        <f t="shared" si="16"/>
        <v>0</v>
      </c>
      <c r="F115" s="277"/>
      <c r="G115" s="199"/>
      <c r="H115" s="244"/>
      <c r="J115" s="63"/>
      <c r="K115" s="63"/>
      <c r="L115" s="63"/>
      <c r="M115" s="63"/>
      <c r="N115" s="63"/>
      <c r="O115" s="63"/>
      <c r="P115" s="63"/>
      <c r="Q115" s="63"/>
      <c r="R115" s="175"/>
      <c r="S115" s="63"/>
    </row>
    <row r="116" spans="1:19" ht="14.1" customHeight="1" thickBot="1" x14ac:dyDescent="0.25">
      <c r="A116" s="453" t="s">
        <v>147</v>
      </c>
      <c r="B116" s="454"/>
      <c r="C116" s="159">
        <v>0</v>
      </c>
      <c r="D116" s="160">
        <f t="shared" si="15"/>
        <v>0</v>
      </c>
      <c r="E116" s="200">
        <f t="shared" si="16"/>
        <v>0</v>
      </c>
      <c r="F116" s="278"/>
      <c r="G116" s="200"/>
      <c r="H116" s="160"/>
      <c r="J116" s="63"/>
      <c r="K116" s="63"/>
      <c r="L116" s="63"/>
      <c r="M116" s="63"/>
      <c r="N116" s="63"/>
      <c r="O116" s="63"/>
      <c r="P116" s="63"/>
      <c r="Q116" s="63"/>
      <c r="R116" s="175"/>
      <c r="S116" s="63"/>
    </row>
    <row r="117" spans="1:19" ht="14.1" customHeight="1" thickTop="1" x14ac:dyDescent="0.2">
      <c r="A117" s="455" t="s">
        <v>190</v>
      </c>
      <c r="B117" s="456"/>
      <c r="C117" s="123">
        <f>SUM(C93:C116)</f>
        <v>71985.274619999997</v>
      </c>
      <c r="D117" s="161">
        <f>SUM(D93:D116)</f>
        <v>44.990796637499997</v>
      </c>
      <c r="E117" s="123">
        <f>SUM(E93:E116)</f>
        <v>71985.274619999997</v>
      </c>
      <c r="F117" s="123"/>
      <c r="G117" s="123"/>
      <c r="H117" s="161">
        <f>SUM(H93:H115)</f>
        <v>0</v>
      </c>
      <c r="J117" s="63"/>
      <c r="K117" s="63"/>
      <c r="L117" s="63"/>
      <c r="M117" s="63"/>
      <c r="N117" s="63"/>
      <c r="O117" s="63"/>
      <c r="P117" s="63"/>
      <c r="Q117" s="63"/>
      <c r="R117" s="175"/>
      <c r="S117" s="63"/>
    </row>
    <row r="118" spans="1:19" ht="14.1" customHeight="1" x14ac:dyDescent="0.2">
      <c r="A118" s="302" t="s">
        <v>151</v>
      </c>
      <c r="B118" s="303"/>
      <c r="C118" s="111">
        <v>0</v>
      </c>
      <c r="D118" s="120">
        <f>C118/$K$3</f>
        <v>0</v>
      </c>
      <c r="E118" s="121">
        <f>C118/$K$4</f>
        <v>0</v>
      </c>
      <c r="F118" s="275"/>
      <c r="G118" s="121"/>
      <c r="H118" s="120">
        <v>0</v>
      </c>
      <c r="J118" s="63"/>
      <c r="K118" s="63"/>
      <c r="L118" s="63"/>
      <c r="M118" s="63"/>
      <c r="N118" s="63"/>
      <c r="O118" s="63"/>
      <c r="P118" s="63"/>
      <c r="Q118" s="63"/>
      <c r="R118" s="175"/>
      <c r="S118" s="63"/>
    </row>
    <row r="119" spans="1:19" ht="14.1" customHeight="1" x14ac:dyDescent="0.2">
      <c r="A119" s="162" t="s">
        <v>192</v>
      </c>
      <c r="B119" s="162"/>
      <c r="C119" s="163">
        <f>SUM(C117:C118)+C91</f>
        <v>436363.99711999996</v>
      </c>
      <c r="D119" s="164">
        <f>C119/K3</f>
        <v>272.72749819999996</v>
      </c>
      <c r="E119" s="163">
        <f>C119/K4</f>
        <v>436363.99711999996</v>
      </c>
      <c r="F119" s="251"/>
      <c r="G119" s="251"/>
      <c r="H119" s="164">
        <f>H118+H117+H91</f>
        <v>0</v>
      </c>
      <c r="J119" s="63"/>
      <c r="K119" s="63"/>
      <c r="L119" s="63"/>
      <c r="M119" s="63"/>
      <c r="N119" s="63"/>
      <c r="O119" s="63"/>
      <c r="P119" s="63"/>
      <c r="Q119" s="63"/>
      <c r="R119" s="175"/>
      <c r="S119" s="63"/>
    </row>
    <row r="120" spans="1:19" ht="14.1" customHeight="1" x14ac:dyDescent="0.2">
      <c r="J120" s="63"/>
      <c r="K120" s="63"/>
      <c r="L120" s="63"/>
      <c r="M120" s="63"/>
      <c r="N120" s="63"/>
      <c r="O120" s="63"/>
      <c r="P120" s="63"/>
      <c r="Q120" s="63"/>
      <c r="R120" s="175"/>
      <c r="S120" s="63"/>
    </row>
    <row r="121" spans="1:19" ht="14.1" customHeight="1" x14ac:dyDescent="0.2">
      <c r="C121" s="49"/>
      <c r="D121" s="49"/>
      <c r="E121" s="49"/>
      <c r="F121" s="49"/>
      <c r="G121" s="49"/>
      <c r="J121" s="63"/>
      <c r="K121" s="63"/>
      <c r="L121" s="63"/>
      <c r="M121" s="63"/>
      <c r="N121" s="63"/>
      <c r="O121" s="63"/>
      <c r="P121" s="63"/>
      <c r="Q121" s="63"/>
      <c r="R121" s="175"/>
      <c r="S121" s="63"/>
    </row>
    <row r="122" spans="1:19" ht="14.1" customHeight="1" x14ac:dyDescent="0.2">
      <c r="A122" s="169" t="s">
        <v>200</v>
      </c>
      <c r="B122" s="59"/>
      <c r="C122" s="59"/>
      <c r="D122" s="59"/>
      <c r="E122" s="49"/>
      <c r="F122" s="49"/>
      <c r="G122" s="49"/>
      <c r="H122" s="49"/>
      <c r="J122" s="63"/>
      <c r="K122" s="63"/>
      <c r="L122" s="63"/>
      <c r="M122" s="63"/>
      <c r="N122" s="63"/>
      <c r="O122" s="63"/>
      <c r="P122" s="63"/>
      <c r="Q122" s="63"/>
      <c r="R122" s="175"/>
      <c r="S122" s="63"/>
    </row>
    <row r="123" spans="1:19" ht="14.1" customHeight="1" x14ac:dyDescent="0.2">
      <c r="C123" s="49"/>
      <c r="D123" s="49"/>
      <c r="E123" s="49"/>
      <c r="F123" s="49"/>
      <c r="G123" s="49"/>
      <c r="H123" s="49"/>
      <c r="J123" s="63"/>
      <c r="K123" s="63"/>
      <c r="L123" s="63"/>
      <c r="M123" s="63"/>
      <c r="N123" s="63"/>
      <c r="O123" s="63"/>
      <c r="P123" s="63"/>
      <c r="Q123" s="63"/>
      <c r="R123" s="175"/>
      <c r="S123" s="63"/>
    </row>
    <row r="124" spans="1:19" ht="14.1" customHeight="1" x14ac:dyDescent="0.2">
      <c r="J124" s="63"/>
      <c r="K124" s="63"/>
      <c r="L124" s="63"/>
      <c r="M124" s="63"/>
      <c r="N124" s="63"/>
      <c r="O124" s="63"/>
      <c r="P124" s="63"/>
      <c r="Q124" s="63"/>
      <c r="R124" s="175"/>
      <c r="S124" s="63"/>
    </row>
    <row r="125" spans="1:19" ht="14.1" customHeight="1" x14ac:dyDescent="0.2">
      <c r="A125" s="170" t="s">
        <v>204</v>
      </c>
      <c r="B125" s="170"/>
      <c r="C125" s="170"/>
      <c r="D125" s="170"/>
      <c r="E125" s="170"/>
      <c r="F125" s="170"/>
      <c r="G125" s="170"/>
      <c r="H125" s="170"/>
      <c r="J125" s="63"/>
      <c r="K125" s="63"/>
      <c r="L125" s="63"/>
      <c r="M125" s="63"/>
      <c r="N125" s="63"/>
      <c r="O125" s="63"/>
      <c r="P125" s="63"/>
      <c r="Q125" s="63"/>
      <c r="R125" s="175"/>
      <c r="S125" s="63"/>
    </row>
    <row r="126" spans="1:19" ht="14.1" customHeight="1" x14ac:dyDescent="0.2">
      <c r="A126" s="100"/>
      <c r="B126" s="100"/>
      <c r="C126" s="100"/>
      <c r="D126" s="100"/>
      <c r="E126" s="171" t="s">
        <v>61</v>
      </c>
      <c r="F126" s="171"/>
      <c r="G126" s="171"/>
      <c r="H126" s="171"/>
      <c r="J126" s="63"/>
      <c r="K126" s="63"/>
      <c r="L126" s="63"/>
      <c r="M126" s="63"/>
      <c r="N126" s="63"/>
      <c r="O126" s="63"/>
      <c r="P126" s="63"/>
      <c r="Q126" s="63"/>
      <c r="R126" s="175"/>
      <c r="S126" s="63"/>
    </row>
    <row r="127" spans="1:19" ht="14.1" customHeight="1" x14ac:dyDescent="0.2">
      <c r="J127" s="63"/>
      <c r="K127" s="63"/>
      <c r="L127" s="63"/>
      <c r="M127" s="63"/>
      <c r="N127" s="63"/>
      <c r="O127" s="63"/>
      <c r="P127" s="63"/>
      <c r="Q127" s="63"/>
      <c r="R127" s="175"/>
      <c r="S127" s="63"/>
    </row>
    <row r="128" spans="1:19" ht="14.1" customHeight="1" x14ac:dyDescent="0.2">
      <c r="A128" s="172"/>
      <c r="B128" s="172"/>
      <c r="C128" s="172"/>
      <c r="D128" s="172"/>
      <c r="E128" s="172"/>
      <c r="F128" s="172"/>
      <c r="G128" s="172"/>
      <c r="H128" s="172"/>
      <c r="J128" s="63"/>
      <c r="K128" s="63"/>
      <c r="L128" s="63"/>
      <c r="M128" s="63"/>
      <c r="N128" s="63"/>
      <c r="O128" s="63"/>
      <c r="P128" s="63"/>
      <c r="Q128" s="63"/>
      <c r="R128" s="175"/>
      <c r="S128" s="63"/>
    </row>
    <row r="129" spans="1:19" ht="14.1" customHeight="1" x14ac:dyDescent="0.2">
      <c r="A129" s="174" t="s">
        <v>208</v>
      </c>
      <c r="B129" s="174"/>
      <c r="C129" s="174"/>
      <c r="D129" s="174"/>
      <c r="E129" s="174" t="s">
        <v>209</v>
      </c>
      <c r="F129" s="174"/>
      <c r="G129" s="174"/>
      <c r="H129" s="174"/>
      <c r="J129" s="63"/>
      <c r="K129" s="63"/>
      <c r="L129" s="63"/>
      <c r="M129" s="63"/>
      <c r="N129" s="63"/>
      <c r="O129" s="63"/>
      <c r="P129" s="63"/>
      <c r="Q129" s="63"/>
      <c r="R129" s="175"/>
      <c r="S129" s="63"/>
    </row>
    <row r="130" spans="1:19" ht="14.1" customHeight="1" x14ac:dyDescent="0.2">
      <c r="J130" s="63"/>
      <c r="K130" s="63"/>
      <c r="L130" s="63"/>
      <c r="M130" s="63"/>
      <c r="N130" s="63"/>
      <c r="O130" s="63"/>
      <c r="P130" s="63"/>
      <c r="Q130" s="63"/>
      <c r="R130" s="175"/>
      <c r="S130" s="63"/>
    </row>
    <row r="131" spans="1:19" ht="14.1" customHeight="1" x14ac:dyDescent="0.2">
      <c r="A131" s="63"/>
      <c r="B131" s="63"/>
      <c r="C131" s="63"/>
      <c r="D131" s="63"/>
      <c r="E131" s="63"/>
      <c r="F131" s="63"/>
      <c r="G131" s="63"/>
      <c r="H131" s="175"/>
      <c r="J131" s="63"/>
      <c r="K131" s="63"/>
      <c r="L131" s="63"/>
      <c r="M131" s="63"/>
      <c r="N131" s="63"/>
      <c r="O131" s="63"/>
      <c r="P131" s="63"/>
      <c r="Q131" s="63"/>
      <c r="R131" s="175"/>
      <c r="S131" s="63"/>
    </row>
    <row r="132" spans="1:19" ht="14.1" customHeight="1" x14ac:dyDescent="0.2">
      <c r="A132" s="63"/>
      <c r="B132" s="63"/>
      <c r="C132" s="63"/>
      <c r="D132" s="63"/>
      <c r="E132" s="63"/>
      <c r="F132" s="63"/>
      <c r="G132" s="63"/>
      <c r="H132" s="175"/>
      <c r="J132" s="63"/>
      <c r="K132" s="63"/>
      <c r="L132" s="63"/>
      <c r="M132" s="63"/>
      <c r="N132" s="63"/>
      <c r="O132" s="63"/>
      <c r="P132" s="63"/>
      <c r="Q132" s="63"/>
      <c r="R132" s="175"/>
      <c r="S132" s="63"/>
    </row>
    <row r="133" spans="1:19" ht="14.1" customHeight="1" x14ac:dyDescent="0.2">
      <c r="A133" s="63"/>
      <c r="B133" s="63"/>
      <c r="C133" s="63"/>
      <c r="D133" s="63"/>
      <c r="E133" s="63"/>
      <c r="F133" s="63"/>
      <c r="G133" s="63"/>
      <c r="H133" s="175"/>
      <c r="J133" s="63"/>
      <c r="K133" s="63"/>
      <c r="L133" s="63"/>
      <c r="M133" s="63"/>
      <c r="N133" s="63"/>
      <c r="O133" s="63"/>
      <c r="P133" s="63"/>
      <c r="Q133" s="63"/>
      <c r="R133" s="175"/>
      <c r="S133" s="63"/>
    </row>
    <row r="134" spans="1:19" ht="14.1" customHeight="1" x14ac:dyDescent="0.2">
      <c r="A134" s="63"/>
      <c r="B134" s="63"/>
      <c r="C134" s="63"/>
      <c r="D134" s="63"/>
      <c r="E134" s="63"/>
      <c r="F134" s="63"/>
      <c r="G134" s="63"/>
      <c r="H134" s="175"/>
      <c r="J134" s="63"/>
      <c r="K134" s="63"/>
      <c r="L134" s="63"/>
      <c r="M134" s="63"/>
      <c r="N134" s="63"/>
      <c r="O134" s="63"/>
      <c r="P134" s="63"/>
      <c r="Q134" s="63"/>
      <c r="R134" s="175"/>
      <c r="S134" s="63"/>
    </row>
    <row r="135" spans="1:19" ht="14.1" customHeight="1" x14ac:dyDescent="0.2">
      <c r="J135" s="63"/>
      <c r="K135" s="63"/>
      <c r="L135" s="63"/>
      <c r="M135" s="63"/>
      <c r="N135" s="63"/>
      <c r="O135" s="63"/>
      <c r="P135" s="63"/>
      <c r="Q135" s="63"/>
      <c r="R135" s="175"/>
      <c r="S135" s="63"/>
    </row>
    <row r="136" spans="1:19" ht="14.1" customHeight="1" x14ac:dyDescent="0.2">
      <c r="J136" s="63"/>
      <c r="K136" s="63"/>
      <c r="L136" s="63"/>
      <c r="M136" s="63"/>
      <c r="N136" s="63"/>
      <c r="O136" s="63"/>
      <c r="P136" s="63"/>
      <c r="Q136" s="63"/>
      <c r="R136" s="175"/>
      <c r="S136" s="63"/>
    </row>
    <row r="137" spans="1:19" ht="14.1" customHeight="1" x14ac:dyDescent="0.2">
      <c r="A137" s="63"/>
      <c r="B137" s="63"/>
      <c r="C137" s="63"/>
      <c r="D137" s="63"/>
      <c r="E137" s="63"/>
      <c r="F137" s="63"/>
      <c r="G137" s="63"/>
      <c r="H137" s="175"/>
      <c r="J137" s="63"/>
      <c r="K137" s="63"/>
      <c r="L137" s="63"/>
      <c r="M137" s="63"/>
      <c r="N137" s="63"/>
      <c r="O137" s="63"/>
      <c r="P137" s="63"/>
      <c r="Q137" s="63"/>
      <c r="R137" s="175"/>
      <c r="S137" s="63"/>
    </row>
    <row r="138" spans="1:19" ht="14.1" customHeight="1" x14ac:dyDescent="0.2">
      <c r="A138" s="63"/>
      <c r="B138" s="63"/>
      <c r="C138" s="63"/>
      <c r="D138" s="63"/>
      <c r="E138" s="63"/>
      <c r="F138" s="63"/>
      <c r="G138" s="63"/>
      <c r="H138" s="175"/>
      <c r="J138" s="63"/>
      <c r="K138" s="63"/>
      <c r="L138" s="63"/>
      <c r="M138" s="63"/>
      <c r="N138" s="63"/>
      <c r="O138" s="63"/>
      <c r="P138" s="63"/>
      <c r="Q138" s="63"/>
      <c r="R138" s="175"/>
      <c r="S138" s="63"/>
    </row>
    <row r="139" spans="1:19" ht="14.1" customHeight="1" x14ac:dyDescent="0.2">
      <c r="A139" s="63"/>
      <c r="B139" s="63"/>
      <c r="C139" s="63"/>
      <c r="D139" s="63"/>
      <c r="E139" s="63"/>
      <c r="F139" s="63"/>
      <c r="G139" s="63"/>
      <c r="H139" s="175"/>
      <c r="J139" s="63"/>
      <c r="K139" s="63"/>
      <c r="L139" s="63"/>
      <c r="M139" s="63"/>
      <c r="N139" s="63"/>
      <c r="O139" s="63"/>
      <c r="P139" s="63"/>
      <c r="Q139" s="63"/>
      <c r="R139" s="175"/>
      <c r="S139" s="63"/>
    </row>
    <row r="140" spans="1:19" ht="14.1" customHeight="1" x14ac:dyDescent="0.2">
      <c r="A140" s="63"/>
      <c r="B140" s="63"/>
      <c r="C140" s="63"/>
      <c r="D140" s="63"/>
      <c r="E140" s="63"/>
      <c r="F140" s="63"/>
      <c r="G140" s="63"/>
      <c r="H140" s="175"/>
      <c r="J140" s="63"/>
      <c r="K140" s="63"/>
      <c r="L140" s="63"/>
      <c r="M140" s="63"/>
      <c r="N140" s="63"/>
      <c r="O140" s="63"/>
      <c r="P140" s="63"/>
      <c r="Q140" s="63"/>
      <c r="R140" s="175"/>
      <c r="S140" s="63"/>
    </row>
    <row r="141" spans="1:19" ht="14.1" customHeight="1" x14ac:dyDescent="0.2">
      <c r="A141" s="63"/>
      <c r="B141" s="63"/>
      <c r="C141" s="63"/>
      <c r="D141" s="63"/>
      <c r="E141" s="63"/>
      <c r="F141" s="63"/>
      <c r="G141" s="63"/>
      <c r="H141" s="175"/>
      <c r="J141" s="63"/>
      <c r="K141" s="63"/>
      <c r="L141" s="63"/>
      <c r="M141" s="63"/>
      <c r="N141" s="63"/>
      <c r="O141" s="63"/>
      <c r="P141" s="63"/>
      <c r="Q141" s="63"/>
      <c r="R141" s="175"/>
      <c r="S141" s="63"/>
    </row>
    <row r="142" spans="1:19" ht="14.1" customHeight="1" x14ac:dyDescent="0.2">
      <c r="A142" s="63"/>
      <c r="B142" s="63"/>
      <c r="C142" s="63"/>
      <c r="D142" s="63"/>
      <c r="E142" s="63"/>
      <c r="F142" s="63"/>
      <c r="G142" s="63"/>
      <c r="H142" s="175"/>
      <c r="J142" s="63"/>
      <c r="K142" s="63"/>
      <c r="L142" s="63"/>
      <c r="M142" s="63"/>
      <c r="N142" s="63"/>
      <c r="O142" s="63"/>
      <c r="P142" s="63"/>
      <c r="Q142" s="63"/>
      <c r="R142" s="175"/>
      <c r="S142" s="63"/>
    </row>
    <row r="143" spans="1:19" ht="14.1" customHeight="1" x14ac:dyDescent="0.2">
      <c r="A143" s="63"/>
      <c r="B143" s="63"/>
      <c r="C143" s="63"/>
      <c r="D143" s="63"/>
      <c r="E143" s="63"/>
      <c r="F143" s="63"/>
      <c r="G143" s="63"/>
      <c r="H143" s="175"/>
      <c r="J143" s="63"/>
      <c r="K143" s="63"/>
      <c r="L143" s="63"/>
      <c r="M143" s="63"/>
      <c r="N143" s="63"/>
      <c r="O143" s="63"/>
      <c r="P143" s="63"/>
      <c r="Q143" s="63"/>
      <c r="R143" s="175"/>
      <c r="S143" s="63"/>
    </row>
    <row r="144" spans="1:19" ht="14.1" customHeight="1" x14ac:dyDescent="0.2">
      <c r="A144" s="63"/>
      <c r="B144" s="63"/>
      <c r="C144" s="63"/>
      <c r="D144" s="63"/>
      <c r="E144" s="63"/>
      <c r="F144" s="63"/>
      <c r="G144" s="63"/>
      <c r="H144" s="175"/>
      <c r="J144" s="63"/>
      <c r="K144" s="63"/>
      <c r="L144" s="63"/>
      <c r="M144" s="63"/>
      <c r="N144" s="63"/>
      <c r="O144" s="63"/>
      <c r="P144" s="63"/>
      <c r="Q144" s="63"/>
      <c r="R144" s="175"/>
      <c r="S144" s="63"/>
    </row>
    <row r="145" spans="1:19" ht="14.1" customHeight="1" x14ac:dyDescent="0.2">
      <c r="A145" s="63"/>
      <c r="B145" s="63"/>
      <c r="C145" s="63"/>
      <c r="D145" s="63"/>
      <c r="E145" s="63"/>
      <c r="F145" s="63"/>
      <c r="G145" s="63"/>
      <c r="H145" s="175"/>
      <c r="J145" s="63"/>
      <c r="K145" s="63"/>
      <c r="L145" s="63"/>
      <c r="M145" s="63"/>
      <c r="N145" s="63"/>
      <c r="O145" s="63"/>
      <c r="P145" s="63"/>
      <c r="Q145" s="63"/>
      <c r="R145" s="175"/>
      <c r="S145" s="63"/>
    </row>
    <row r="146" spans="1:19" ht="14.1" customHeight="1" x14ac:dyDescent="0.2">
      <c r="A146" s="63"/>
      <c r="B146" s="63"/>
      <c r="C146" s="63"/>
      <c r="D146" s="63"/>
      <c r="E146" s="63"/>
      <c r="F146" s="63"/>
      <c r="G146" s="63"/>
      <c r="H146" s="175"/>
      <c r="J146" s="63"/>
      <c r="K146" s="63"/>
      <c r="L146" s="63"/>
      <c r="M146" s="63"/>
      <c r="N146" s="63"/>
      <c r="O146" s="63"/>
      <c r="P146" s="63"/>
      <c r="Q146" s="63"/>
      <c r="R146" s="175"/>
      <c r="S146" s="63"/>
    </row>
    <row r="147" spans="1:19" ht="14.1" customHeight="1" x14ac:dyDescent="0.2">
      <c r="A147" s="63"/>
      <c r="B147" s="63"/>
      <c r="C147" s="63"/>
      <c r="D147" s="63"/>
      <c r="E147" s="63"/>
      <c r="F147" s="63"/>
      <c r="G147" s="63"/>
      <c r="H147" s="175"/>
      <c r="J147" s="63"/>
      <c r="K147" s="63"/>
      <c r="L147" s="63"/>
      <c r="M147" s="63"/>
      <c r="N147" s="63"/>
      <c r="O147" s="63"/>
      <c r="P147" s="63"/>
      <c r="Q147" s="63"/>
      <c r="R147" s="175"/>
      <c r="S147" s="63"/>
    </row>
    <row r="148" spans="1:19" ht="14.1" customHeight="1" x14ac:dyDescent="0.2">
      <c r="A148" s="63"/>
      <c r="B148" s="63"/>
      <c r="C148" s="63"/>
      <c r="D148" s="63"/>
      <c r="E148" s="63"/>
      <c r="F148" s="63"/>
      <c r="G148" s="63"/>
      <c r="H148" s="175"/>
      <c r="J148" s="63"/>
      <c r="K148" s="63"/>
      <c r="L148" s="63"/>
      <c r="M148" s="63"/>
      <c r="N148" s="63"/>
      <c r="O148" s="63"/>
      <c r="P148" s="63"/>
      <c r="Q148" s="63"/>
      <c r="R148" s="175"/>
      <c r="S148" s="63"/>
    </row>
    <row r="149" spans="1:19" ht="14.1" customHeight="1" x14ac:dyDescent="0.2">
      <c r="A149" s="63"/>
      <c r="B149" s="63"/>
      <c r="C149" s="63"/>
      <c r="D149" s="63"/>
      <c r="E149" s="63"/>
      <c r="F149" s="63"/>
      <c r="G149" s="63"/>
      <c r="H149" s="175"/>
      <c r="J149" s="63"/>
      <c r="K149" s="63"/>
      <c r="L149" s="63"/>
      <c r="M149" s="63"/>
      <c r="N149" s="63"/>
      <c r="O149" s="63"/>
      <c r="P149" s="63"/>
      <c r="Q149" s="63"/>
      <c r="R149" s="175"/>
      <c r="S149" s="63"/>
    </row>
    <row r="150" spans="1:19" ht="14.1" customHeight="1" x14ac:dyDescent="0.2">
      <c r="A150" s="63"/>
      <c r="B150" s="63"/>
      <c r="C150" s="63"/>
      <c r="D150" s="63"/>
      <c r="E150" s="63"/>
      <c r="F150" s="63"/>
      <c r="G150" s="63"/>
      <c r="H150" s="175"/>
      <c r="J150" s="63"/>
      <c r="K150" s="63"/>
      <c r="L150" s="63"/>
      <c r="M150" s="63"/>
      <c r="N150" s="63"/>
      <c r="O150" s="63"/>
      <c r="P150" s="63"/>
      <c r="Q150" s="63"/>
      <c r="R150" s="175"/>
      <c r="S150" s="63"/>
    </row>
    <row r="151" spans="1:19" ht="14.1" customHeight="1" x14ac:dyDescent="0.2">
      <c r="A151" s="63"/>
      <c r="B151" s="63"/>
      <c r="C151" s="63"/>
      <c r="D151" s="63"/>
      <c r="E151" s="63"/>
      <c r="F151" s="63"/>
      <c r="G151" s="63"/>
      <c r="H151" s="175"/>
      <c r="J151" s="63"/>
      <c r="K151" s="63"/>
      <c r="L151" s="63"/>
      <c r="M151" s="63"/>
      <c r="N151" s="63"/>
      <c r="O151" s="63"/>
      <c r="P151" s="63"/>
      <c r="Q151" s="63"/>
      <c r="R151" s="175"/>
      <c r="S151" s="63"/>
    </row>
    <row r="152" spans="1:19" ht="14.1" customHeight="1" x14ac:dyDescent="0.2">
      <c r="A152" s="63"/>
      <c r="B152" s="63"/>
      <c r="C152" s="63"/>
      <c r="D152" s="63"/>
      <c r="E152" s="63"/>
      <c r="F152" s="63"/>
      <c r="G152" s="63"/>
      <c r="H152" s="175"/>
      <c r="J152" s="63"/>
      <c r="K152" s="63"/>
      <c r="L152" s="63"/>
      <c r="M152" s="63"/>
      <c r="N152" s="63"/>
      <c r="O152" s="63"/>
      <c r="P152" s="63"/>
      <c r="Q152" s="63"/>
      <c r="R152" s="175"/>
      <c r="S152" s="63"/>
    </row>
    <row r="153" spans="1:19" ht="14.1" customHeight="1" x14ac:dyDescent="0.2">
      <c r="A153" s="63"/>
      <c r="B153" s="63"/>
      <c r="C153" s="63"/>
      <c r="D153" s="63"/>
      <c r="E153" s="63"/>
      <c r="F153" s="63"/>
      <c r="G153" s="63"/>
      <c r="H153" s="175"/>
      <c r="J153" s="63"/>
      <c r="K153" s="63"/>
      <c r="L153" s="63"/>
      <c r="M153" s="63"/>
      <c r="N153" s="63"/>
      <c r="O153" s="63"/>
      <c r="P153" s="63"/>
      <c r="Q153" s="63"/>
      <c r="R153" s="175"/>
      <c r="S153" s="63"/>
    </row>
    <row r="154" spans="1:19" ht="14.1" customHeight="1" x14ac:dyDescent="0.2">
      <c r="J154" s="63"/>
      <c r="K154" s="63"/>
      <c r="L154" s="63"/>
      <c r="M154" s="63"/>
      <c r="N154" s="63"/>
      <c r="O154" s="63"/>
      <c r="P154" s="63"/>
      <c r="Q154" s="63"/>
      <c r="R154" s="175"/>
      <c r="S154" s="63"/>
    </row>
    <row r="155" spans="1:19" ht="14.1" customHeight="1" x14ac:dyDescent="0.2">
      <c r="J155" s="63"/>
      <c r="K155" s="63"/>
      <c r="L155" s="63"/>
      <c r="M155" s="63"/>
      <c r="N155" s="63"/>
      <c r="O155" s="63"/>
      <c r="P155" s="63"/>
      <c r="Q155" s="63"/>
      <c r="R155" s="175"/>
      <c r="S155" s="63"/>
    </row>
    <row r="156" spans="1:19" ht="14.1" customHeight="1" x14ac:dyDescent="0.2">
      <c r="J156" s="63"/>
      <c r="K156" s="63"/>
      <c r="L156" s="63"/>
      <c r="M156" s="63"/>
      <c r="N156" s="63"/>
      <c r="O156" s="63"/>
      <c r="P156" s="63"/>
      <c r="Q156" s="63"/>
      <c r="R156" s="175"/>
      <c r="S156" s="63"/>
    </row>
    <row r="157" spans="1:19" ht="14.1" customHeight="1" x14ac:dyDescent="0.2">
      <c r="J157" s="63"/>
      <c r="K157" s="63"/>
      <c r="L157" s="63"/>
      <c r="M157" s="63"/>
      <c r="N157" s="63"/>
      <c r="O157" s="63"/>
      <c r="P157" s="63"/>
      <c r="Q157" s="63"/>
      <c r="R157" s="175"/>
      <c r="S157" s="63"/>
    </row>
    <row r="158" spans="1:19" ht="14.1" customHeight="1" x14ac:dyDescent="0.2">
      <c r="J158" s="63"/>
      <c r="K158" s="63"/>
      <c r="L158" s="63"/>
      <c r="M158" s="63"/>
      <c r="N158" s="63"/>
      <c r="O158" s="63"/>
      <c r="P158" s="63"/>
      <c r="Q158" s="63"/>
      <c r="R158" s="175"/>
      <c r="S158" s="63"/>
    </row>
    <row r="159" spans="1:19" ht="14.1" customHeight="1" x14ac:dyDescent="0.2">
      <c r="J159" s="63"/>
      <c r="K159" s="63"/>
      <c r="L159" s="63"/>
      <c r="M159" s="63"/>
      <c r="N159" s="63"/>
      <c r="O159" s="63"/>
      <c r="P159" s="63"/>
      <c r="Q159" s="63"/>
      <c r="R159" s="175"/>
      <c r="S159" s="63"/>
    </row>
    <row r="160" spans="1:19" ht="14.1" customHeight="1" x14ac:dyDescent="0.2">
      <c r="J160" s="63"/>
      <c r="K160" s="63"/>
      <c r="L160" s="63"/>
      <c r="M160" s="63"/>
      <c r="N160" s="63"/>
      <c r="O160" s="63"/>
      <c r="P160" s="63"/>
      <c r="Q160" s="63"/>
      <c r="R160" s="175"/>
      <c r="S160" s="63"/>
    </row>
    <row r="161" spans="10:19" ht="14.1" customHeight="1" x14ac:dyDescent="0.2">
      <c r="J161" s="63"/>
      <c r="K161" s="63"/>
      <c r="L161" s="63"/>
      <c r="M161" s="63"/>
      <c r="N161" s="63"/>
      <c r="O161" s="63"/>
      <c r="P161" s="63"/>
      <c r="Q161" s="63"/>
      <c r="R161" s="175"/>
      <c r="S161" s="63"/>
    </row>
    <row r="162" spans="10:19" ht="14.1" customHeight="1" x14ac:dyDescent="0.2">
      <c r="J162" s="63"/>
      <c r="K162" s="63"/>
      <c r="L162" s="63"/>
      <c r="M162" s="63"/>
      <c r="N162" s="63"/>
      <c r="O162" s="63"/>
      <c r="P162" s="63"/>
      <c r="Q162" s="63"/>
      <c r="R162" s="175"/>
      <c r="S162" s="63"/>
    </row>
    <row r="163" spans="10:19" ht="14.1" customHeight="1" x14ac:dyDescent="0.2">
      <c r="J163" s="63"/>
      <c r="K163" s="63"/>
      <c r="L163" s="63"/>
      <c r="M163" s="63"/>
      <c r="N163" s="63"/>
      <c r="O163" s="63"/>
      <c r="P163" s="63"/>
      <c r="Q163" s="63"/>
      <c r="R163" s="175"/>
      <c r="S163" s="63"/>
    </row>
    <row r="164" spans="10:19" ht="14.1" customHeight="1" x14ac:dyDescent="0.2">
      <c r="J164" s="63"/>
      <c r="K164" s="63"/>
      <c r="L164" s="63"/>
      <c r="M164" s="63"/>
      <c r="N164" s="63"/>
      <c r="O164" s="63"/>
      <c r="P164" s="63"/>
      <c r="Q164" s="63"/>
      <c r="R164" s="175"/>
      <c r="S164" s="63"/>
    </row>
    <row r="165" spans="10:19" ht="14.1" customHeight="1" x14ac:dyDescent="0.2">
      <c r="J165" s="63"/>
      <c r="K165" s="63"/>
      <c r="L165" s="63"/>
      <c r="M165" s="63"/>
      <c r="N165" s="63"/>
      <c r="O165" s="63"/>
      <c r="P165" s="63"/>
      <c r="Q165" s="63"/>
      <c r="R165" s="175"/>
      <c r="S165" s="63"/>
    </row>
    <row r="166" spans="10:19" ht="14.1" customHeight="1" x14ac:dyDescent="0.2">
      <c r="J166" s="63"/>
      <c r="K166" s="63"/>
      <c r="L166" s="63"/>
      <c r="M166" s="63"/>
      <c r="N166" s="63"/>
      <c r="O166" s="63"/>
      <c r="P166" s="63"/>
      <c r="Q166" s="63"/>
      <c r="R166" s="175"/>
      <c r="S166" s="63"/>
    </row>
    <row r="167" spans="10:19" ht="14.1" customHeight="1" x14ac:dyDescent="0.2">
      <c r="J167" s="63"/>
      <c r="K167" s="63"/>
      <c r="L167" s="63"/>
      <c r="M167" s="63"/>
      <c r="N167" s="63"/>
      <c r="O167" s="63"/>
      <c r="P167" s="63"/>
      <c r="Q167" s="63"/>
      <c r="R167" s="175"/>
      <c r="S167" s="63"/>
    </row>
    <row r="168" spans="10:19" ht="14.1" customHeight="1" x14ac:dyDescent="0.2">
      <c r="J168" s="63"/>
      <c r="K168" s="63"/>
      <c r="L168" s="63"/>
      <c r="M168" s="63"/>
      <c r="N168" s="63"/>
      <c r="O168" s="63"/>
      <c r="P168" s="63"/>
      <c r="Q168" s="63"/>
      <c r="R168" s="175"/>
      <c r="S168" s="63"/>
    </row>
    <row r="169" spans="10:19" ht="14.1" customHeight="1" x14ac:dyDescent="0.2">
      <c r="J169" s="63"/>
      <c r="K169" s="63"/>
      <c r="L169" s="63"/>
      <c r="M169" s="63"/>
      <c r="N169" s="63"/>
      <c r="O169" s="63"/>
      <c r="P169" s="63"/>
      <c r="Q169" s="63"/>
      <c r="R169" s="175"/>
      <c r="S169" s="63"/>
    </row>
    <row r="170" spans="10:19" ht="14.1" customHeight="1" x14ac:dyDescent="0.2">
      <c r="J170" s="63"/>
      <c r="K170" s="63"/>
      <c r="L170" s="63"/>
      <c r="M170" s="63"/>
      <c r="N170" s="63"/>
      <c r="O170" s="63"/>
      <c r="P170" s="63"/>
      <c r="Q170" s="63"/>
      <c r="R170" s="175"/>
      <c r="S170" s="63"/>
    </row>
    <row r="171" spans="10:19" ht="14.1" customHeight="1" x14ac:dyDescent="0.2">
      <c r="J171" s="63"/>
      <c r="K171" s="63"/>
      <c r="L171" s="63"/>
      <c r="M171" s="63"/>
      <c r="N171" s="63"/>
      <c r="O171" s="63"/>
      <c r="P171" s="63"/>
      <c r="Q171" s="63"/>
      <c r="R171" s="175"/>
      <c r="S171" s="63"/>
    </row>
    <row r="172" spans="10:19" ht="14.1" customHeight="1" x14ac:dyDescent="0.2">
      <c r="J172" s="63"/>
      <c r="K172" s="63"/>
      <c r="L172" s="63"/>
      <c r="M172" s="63"/>
      <c r="N172" s="63"/>
      <c r="O172" s="63"/>
      <c r="P172" s="63"/>
      <c r="Q172" s="63"/>
      <c r="R172" s="175"/>
      <c r="S172" s="63"/>
    </row>
    <row r="173" spans="10:19" ht="14.1" customHeight="1" x14ac:dyDescent="0.2">
      <c r="J173" s="63"/>
      <c r="K173" s="63"/>
      <c r="L173" s="63"/>
      <c r="M173" s="63"/>
      <c r="N173" s="63"/>
      <c r="O173" s="63"/>
      <c r="P173" s="63"/>
      <c r="Q173" s="63"/>
      <c r="R173" s="175"/>
      <c r="S173" s="63"/>
    </row>
    <row r="174" spans="10:19" ht="14.1" customHeight="1" x14ac:dyDescent="0.2">
      <c r="J174" s="63"/>
      <c r="K174" s="63"/>
      <c r="L174" s="63"/>
      <c r="M174" s="63"/>
      <c r="N174" s="63"/>
      <c r="O174" s="63"/>
      <c r="P174" s="63"/>
      <c r="Q174" s="63"/>
      <c r="R174" s="175"/>
      <c r="S174" s="63"/>
    </row>
    <row r="175" spans="10:19" ht="14.1" customHeight="1" x14ac:dyDescent="0.2">
      <c r="J175" s="63"/>
      <c r="K175" s="63"/>
      <c r="L175" s="63"/>
      <c r="M175" s="63"/>
      <c r="N175" s="63"/>
      <c r="O175" s="63"/>
      <c r="P175" s="63"/>
      <c r="Q175" s="63"/>
      <c r="R175" s="175"/>
      <c r="S175" s="63"/>
    </row>
    <row r="176" spans="10:19" ht="14.1" customHeight="1" x14ac:dyDescent="0.2">
      <c r="J176" s="63"/>
      <c r="K176" s="63"/>
      <c r="L176" s="63"/>
      <c r="M176" s="63"/>
      <c r="N176" s="63"/>
      <c r="O176" s="63"/>
      <c r="P176" s="63"/>
      <c r="Q176" s="63"/>
      <c r="R176" s="175"/>
      <c r="S176" s="63"/>
    </row>
    <row r="177" spans="10:19" ht="14.1" customHeight="1" x14ac:dyDescent="0.2">
      <c r="J177" s="63"/>
      <c r="K177" s="63"/>
      <c r="L177" s="63"/>
      <c r="M177" s="63"/>
      <c r="N177" s="63"/>
      <c r="O177" s="63"/>
      <c r="P177" s="63"/>
      <c r="Q177" s="63"/>
      <c r="R177" s="175"/>
      <c r="S177" s="63"/>
    </row>
    <row r="178" spans="10:19" ht="14.1" customHeight="1" x14ac:dyDescent="0.2">
      <c r="J178" s="63"/>
      <c r="K178" s="63"/>
      <c r="L178" s="63"/>
      <c r="M178" s="63"/>
      <c r="N178" s="63"/>
      <c r="O178" s="63"/>
      <c r="P178" s="63"/>
      <c r="Q178" s="63"/>
      <c r="R178" s="175"/>
      <c r="S178" s="63"/>
    </row>
    <row r="179" spans="10:19" ht="14.1" customHeight="1" x14ac:dyDescent="0.2">
      <c r="J179" s="63"/>
      <c r="K179" s="63"/>
      <c r="L179" s="63"/>
      <c r="M179" s="63"/>
      <c r="N179" s="63"/>
      <c r="O179" s="63"/>
      <c r="P179" s="63"/>
      <c r="Q179" s="63"/>
      <c r="R179" s="175"/>
      <c r="S179" s="63"/>
    </row>
    <row r="180" spans="10:19" ht="14.1" customHeight="1" x14ac:dyDescent="0.2">
      <c r="J180" s="63"/>
      <c r="K180" s="63"/>
      <c r="L180" s="63"/>
      <c r="M180" s="63"/>
      <c r="N180" s="63"/>
      <c r="O180" s="63"/>
      <c r="P180" s="63"/>
      <c r="Q180" s="63"/>
      <c r="R180" s="175"/>
      <c r="S180" s="63"/>
    </row>
    <row r="181" spans="10:19" ht="14.1" customHeight="1" x14ac:dyDescent="0.2">
      <c r="J181" s="63"/>
      <c r="K181" s="63"/>
      <c r="L181" s="63"/>
      <c r="M181" s="63"/>
      <c r="N181" s="63"/>
      <c r="O181" s="63"/>
      <c r="P181" s="63"/>
      <c r="Q181" s="63"/>
      <c r="R181" s="175"/>
      <c r="S181" s="63"/>
    </row>
    <row r="182" spans="10:19" ht="14.1" customHeight="1" x14ac:dyDescent="0.2">
      <c r="J182" s="63"/>
      <c r="K182" s="63"/>
      <c r="L182" s="63"/>
      <c r="M182" s="63"/>
      <c r="N182" s="63"/>
      <c r="O182" s="63"/>
      <c r="P182" s="63"/>
      <c r="Q182" s="63"/>
      <c r="R182" s="175"/>
      <c r="S182" s="63"/>
    </row>
    <row r="183" spans="10:19" ht="14.1" customHeight="1" x14ac:dyDescent="0.2">
      <c r="J183" s="63"/>
      <c r="K183" s="63"/>
      <c r="L183" s="63"/>
      <c r="M183" s="63"/>
      <c r="N183" s="63"/>
      <c r="O183" s="63"/>
      <c r="P183" s="63"/>
      <c r="Q183" s="63"/>
      <c r="R183" s="175"/>
      <c r="S183" s="63"/>
    </row>
    <row r="184" spans="10:19" ht="14.1" customHeight="1" x14ac:dyDescent="0.2">
      <c r="J184" s="63"/>
      <c r="K184" s="63"/>
      <c r="L184" s="63"/>
      <c r="M184" s="63"/>
      <c r="N184" s="63"/>
      <c r="O184" s="63"/>
      <c r="P184" s="63"/>
      <c r="Q184" s="63"/>
      <c r="R184" s="175"/>
      <c r="S184" s="63"/>
    </row>
    <row r="185" spans="10:19" ht="14.1" customHeight="1" x14ac:dyDescent="0.2">
      <c r="J185" s="63"/>
      <c r="K185" s="63"/>
      <c r="L185" s="63"/>
      <c r="M185" s="63"/>
      <c r="N185" s="63"/>
      <c r="O185" s="63"/>
      <c r="P185" s="63"/>
      <c r="Q185" s="63"/>
      <c r="R185" s="175"/>
      <c r="S185" s="63"/>
    </row>
    <row r="186" spans="10:19" ht="14.1" customHeight="1" x14ac:dyDescent="0.2">
      <c r="J186" s="63"/>
      <c r="K186" s="63"/>
      <c r="L186" s="63"/>
      <c r="M186" s="63"/>
      <c r="N186" s="63"/>
      <c r="O186" s="63"/>
      <c r="P186" s="63"/>
      <c r="Q186" s="63"/>
      <c r="R186" s="175"/>
      <c r="S186" s="63"/>
    </row>
    <row r="187" spans="10:19" x14ac:dyDescent="0.2">
      <c r="J187" s="63"/>
      <c r="K187" s="63"/>
      <c r="L187" s="63"/>
      <c r="M187" s="63"/>
      <c r="N187" s="63"/>
      <c r="O187" s="63"/>
      <c r="Q187" s="63"/>
      <c r="R187" s="175"/>
      <c r="S187" s="63"/>
    </row>
  </sheetData>
  <mergeCells count="106">
    <mergeCell ref="A112:B112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88:B88"/>
    <mergeCell ref="A91:B91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5:B65"/>
    <mergeCell ref="A66:B66"/>
    <mergeCell ref="A67:B67"/>
    <mergeCell ref="A68:B68"/>
    <mergeCell ref="J68:O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1:B41"/>
    <mergeCell ref="A42:B42"/>
    <mergeCell ref="A43:B43"/>
    <mergeCell ref="J43:O43"/>
    <mergeCell ref="A44:B44"/>
    <mergeCell ref="A45:B45"/>
    <mergeCell ref="A34:B34"/>
    <mergeCell ref="A35:B35"/>
    <mergeCell ref="A36:B36"/>
    <mergeCell ref="A37:B37"/>
    <mergeCell ref="A38:B38"/>
    <mergeCell ref="A40:B40"/>
    <mergeCell ref="A27:B27"/>
    <mergeCell ref="A29:B29"/>
    <mergeCell ref="A30:B30"/>
    <mergeCell ref="A31:B31"/>
    <mergeCell ref="A32:B32"/>
    <mergeCell ref="A33:B33"/>
    <mergeCell ref="A20:B20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B6:H6"/>
    <mergeCell ref="K6:L6"/>
    <mergeCell ref="N6:O6"/>
    <mergeCell ref="J9:O9"/>
    <mergeCell ref="A12:B12"/>
    <mergeCell ref="A13:B13"/>
    <mergeCell ref="B3:H3"/>
    <mergeCell ref="N3:O3"/>
    <mergeCell ref="B4:H4"/>
    <mergeCell ref="N4:O4"/>
    <mergeCell ref="B5:H5"/>
    <mergeCell ref="K5:L5"/>
    <mergeCell ref="N5:O5"/>
    <mergeCell ref="A14:B14"/>
    <mergeCell ref="A15:B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8A65-86E7-441D-A26B-CF2ED6B82E94}">
  <dimension ref="A1:Z187"/>
  <sheetViews>
    <sheetView topLeftCell="A7" zoomScale="120" zoomScaleNormal="120" workbookViewId="0">
      <selection activeCell="K52" sqref="K52"/>
    </sheetView>
  </sheetViews>
  <sheetFormatPr defaultColWidth="8.85546875" defaultRowHeight="12" outlineLevelCol="1" x14ac:dyDescent="0.2"/>
  <cols>
    <col min="1" max="1" width="54.28515625" style="49" customWidth="1"/>
    <col min="2" max="2" width="8.28515625" style="49" customWidth="1"/>
    <col min="3" max="3" width="10.28515625" style="51" customWidth="1"/>
    <col min="4" max="4" width="9.7109375" style="166" customWidth="1"/>
    <col min="5" max="7" width="9.7109375" style="51" customWidth="1"/>
    <col min="8" max="8" width="9.7109375" style="167" customWidth="1"/>
    <col min="9" max="9" width="6" style="49" customWidth="1"/>
    <col min="10" max="10" width="26" style="49" customWidth="1"/>
    <col min="11" max="11" width="11" style="49" customWidth="1"/>
    <col min="12" max="12" width="12.7109375" style="49" bestFit="1" customWidth="1"/>
    <col min="13" max="13" width="14.28515625" style="49" customWidth="1"/>
    <col min="14" max="14" width="12.28515625" style="49" customWidth="1"/>
    <col min="15" max="15" width="11.85546875" style="54" customWidth="1"/>
    <col min="16" max="16" width="8" style="49" customWidth="1"/>
    <col min="17" max="17" width="18" style="49" customWidth="1"/>
    <col min="18" max="18" width="12" style="167" bestFit="1" customWidth="1"/>
    <col min="19" max="19" width="8.85546875" style="49" customWidth="1"/>
    <col min="20" max="20" width="21.7109375" style="49" customWidth="1" outlineLevel="1"/>
    <col min="21" max="22" width="8.85546875" style="49" customWidth="1" outlineLevel="1"/>
    <col min="23" max="23" width="9.85546875" style="49" customWidth="1" outlineLevel="1"/>
    <col min="24" max="26" width="8.85546875" style="49" customWidth="1" outlineLevel="1"/>
    <col min="27" max="16384" width="8.85546875" style="49"/>
  </cols>
  <sheetData>
    <row r="1" spans="1:17" ht="22.15" customHeight="1" thickBot="1" x14ac:dyDescent="0.3">
      <c r="A1" s="282" t="s">
        <v>87</v>
      </c>
      <c r="B1" s="43"/>
      <c r="C1" s="44" t="s">
        <v>383</v>
      </c>
      <c r="D1" s="45"/>
      <c r="E1" s="43"/>
      <c r="F1" s="43"/>
      <c r="G1" s="43"/>
      <c r="H1" s="46"/>
      <c r="I1" s="47"/>
      <c r="J1" s="43"/>
      <c r="K1" s="43"/>
      <c r="L1" s="43"/>
      <c r="M1" s="43"/>
      <c r="N1" s="43"/>
      <c r="O1" s="48"/>
    </row>
    <row r="2" spans="1:17" ht="11.1" customHeight="1" x14ac:dyDescent="0.2">
      <c r="A2" s="50"/>
      <c r="D2" s="52"/>
      <c r="E2" s="49"/>
      <c r="F2" s="49"/>
      <c r="G2" s="49"/>
      <c r="H2" s="53"/>
      <c r="I2" s="51"/>
    </row>
    <row r="3" spans="1:17" ht="14.1" customHeight="1" x14ac:dyDescent="0.2">
      <c r="A3" s="60" t="s">
        <v>88</v>
      </c>
      <c r="B3" s="426"/>
      <c r="C3" s="426"/>
      <c r="D3" s="426"/>
      <c r="E3" s="426"/>
      <c r="F3" s="426"/>
      <c r="G3" s="426"/>
      <c r="H3" s="426"/>
      <c r="I3" s="51"/>
      <c r="J3" s="55" t="s">
        <v>89</v>
      </c>
      <c r="K3" s="56">
        <f>K58</f>
        <v>1600</v>
      </c>
      <c r="M3" s="60" t="s">
        <v>94</v>
      </c>
      <c r="N3" s="427"/>
      <c r="O3" s="427"/>
    </row>
    <row r="4" spans="1:17" ht="14.1" customHeight="1" x14ac:dyDescent="0.2">
      <c r="A4" s="60" t="s">
        <v>244</v>
      </c>
      <c r="B4" s="426"/>
      <c r="C4" s="426"/>
      <c r="D4" s="426"/>
      <c r="E4" s="426"/>
      <c r="F4" s="426"/>
      <c r="G4" s="426"/>
      <c r="H4" s="426"/>
      <c r="I4" s="51"/>
      <c r="J4" s="55" t="s">
        <v>91</v>
      </c>
      <c r="K4" s="57">
        <f>COUNT(K46:K57)</f>
        <v>1</v>
      </c>
      <c r="L4" s="58"/>
      <c r="M4" s="301" t="s">
        <v>268</v>
      </c>
      <c r="N4" s="428"/>
      <c r="O4" s="428"/>
    </row>
    <row r="5" spans="1:17" ht="14.1" customHeight="1" x14ac:dyDescent="0.2">
      <c r="A5" s="60" t="s">
        <v>90</v>
      </c>
      <c r="B5" s="426"/>
      <c r="C5" s="426"/>
      <c r="D5" s="426"/>
      <c r="E5" s="426"/>
      <c r="F5" s="426"/>
      <c r="G5" s="426"/>
      <c r="H5" s="426"/>
      <c r="I5" s="51"/>
      <c r="J5" s="59" t="s">
        <v>93</v>
      </c>
      <c r="K5" s="427"/>
      <c r="L5" s="427"/>
      <c r="M5" s="301" t="s">
        <v>269</v>
      </c>
      <c r="N5" s="428"/>
      <c r="O5" s="428"/>
    </row>
    <row r="6" spans="1:17" ht="14.1" customHeight="1" x14ac:dyDescent="0.2">
      <c r="A6" s="60" t="s">
        <v>92</v>
      </c>
      <c r="B6" s="432"/>
      <c r="C6" s="432"/>
      <c r="D6" s="432"/>
      <c r="E6" s="432"/>
      <c r="F6" s="433"/>
      <c r="G6" s="433"/>
      <c r="H6" s="432"/>
      <c r="I6" s="51"/>
      <c r="J6" s="49" t="s">
        <v>95</v>
      </c>
      <c r="K6" s="434"/>
      <c r="L6" s="434"/>
      <c r="M6" s="60" t="s">
        <v>270</v>
      </c>
      <c r="N6" s="427"/>
      <c r="O6" s="427"/>
    </row>
    <row r="7" spans="1:17" ht="14.1" customHeight="1" x14ac:dyDescent="0.2">
      <c r="A7" s="51"/>
      <c r="B7" s="61"/>
      <c r="C7" s="61"/>
      <c r="D7" s="61"/>
      <c r="E7" s="61"/>
      <c r="F7" s="61"/>
      <c r="G7" s="61"/>
      <c r="H7" s="62"/>
      <c r="I7" s="51"/>
      <c r="J7" s="51"/>
      <c r="K7" s="61"/>
      <c r="L7" s="61"/>
      <c r="M7" s="61"/>
      <c r="N7" s="61"/>
      <c r="O7" s="61"/>
      <c r="Q7" s="217"/>
    </row>
    <row r="8" spans="1:17" ht="14.1" customHeight="1" thickBot="1" x14ac:dyDescent="0.25">
      <c r="A8" s="43"/>
      <c r="B8" s="43"/>
      <c r="C8" s="216"/>
      <c r="D8" s="269"/>
      <c r="E8" s="216"/>
      <c r="F8" s="216"/>
      <c r="G8" s="216"/>
      <c r="H8" s="53"/>
      <c r="I8" s="51"/>
      <c r="Q8" s="217"/>
    </row>
    <row r="9" spans="1:17" ht="24.75" thickBot="1" x14ac:dyDescent="0.25">
      <c r="A9" s="201" t="s">
        <v>96</v>
      </c>
      <c r="B9" s="202"/>
      <c r="C9" s="271" t="s">
        <v>382</v>
      </c>
      <c r="D9" s="272" t="s">
        <v>98</v>
      </c>
      <c r="E9" s="273" t="s">
        <v>99</v>
      </c>
      <c r="F9" s="273" t="s">
        <v>292</v>
      </c>
      <c r="G9" s="273" t="s">
        <v>369</v>
      </c>
      <c r="H9" s="274" t="s">
        <v>100</v>
      </c>
      <c r="I9" s="63"/>
      <c r="J9" s="435" t="s">
        <v>101</v>
      </c>
      <c r="K9" s="435"/>
      <c r="L9" s="435"/>
      <c r="M9" s="435"/>
      <c r="N9" s="435"/>
      <c r="O9" s="435"/>
      <c r="Q9" s="289"/>
    </row>
    <row r="10" spans="1:17" ht="14.1" customHeight="1" x14ac:dyDescent="0.2">
      <c r="A10" s="64" t="s">
        <v>102</v>
      </c>
      <c r="B10" s="64"/>
      <c r="C10" s="270"/>
      <c r="D10" s="270"/>
      <c r="E10" s="270"/>
      <c r="F10" s="270"/>
      <c r="G10" s="270"/>
      <c r="H10" s="65"/>
      <c r="I10" s="63"/>
      <c r="Q10" s="217"/>
    </row>
    <row r="11" spans="1:17" ht="14.1" customHeight="1" x14ac:dyDescent="0.2">
      <c r="A11" s="252" t="s">
        <v>293</v>
      </c>
      <c r="B11" s="253"/>
      <c r="C11" s="253"/>
      <c r="D11" s="253"/>
      <c r="E11" s="253"/>
      <c r="F11" s="253"/>
      <c r="G11" s="253"/>
      <c r="H11" s="254"/>
      <c r="I11" s="63"/>
      <c r="J11" s="70" t="s">
        <v>103</v>
      </c>
      <c r="K11" s="295">
        <f>(C22+C29+C33+C31+C30+C32+C23+C24+C25+C26+C34+C35+C36+C37+C38+C27)/K4</f>
        <v>69500</v>
      </c>
      <c r="L11" s="72" t="s">
        <v>104</v>
      </c>
      <c r="M11" s="73">
        <f>(M14+M15+M16+C93)/K4</f>
        <v>215000</v>
      </c>
      <c r="N11" s="74" t="s">
        <v>105</v>
      </c>
      <c r="O11" s="71">
        <f>SUM(M14:M16)</f>
        <v>215000</v>
      </c>
      <c r="Q11" s="217"/>
    </row>
    <row r="12" spans="1:17" ht="14.1" customHeight="1" x14ac:dyDescent="0.2">
      <c r="A12" s="436" t="s">
        <v>294</v>
      </c>
      <c r="B12" s="436"/>
      <c r="C12" s="66">
        <f>K4*15000</f>
        <v>15000</v>
      </c>
      <c r="D12" s="67">
        <f>C12/$K$3</f>
        <v>9.375</v>
      </c>
      <c r="E12" s="68">
        <f>C12/$K$4</f>
        <v>15000</v>
      </c>
      <c r="F12" s="279"/>
      <c r="G12" s="68"/>
      <c r="H12" s="67"/>
      <c r="I12" s="63"/>
      <c r="Q12" s="217"/>
    </row>
    <row r="13" spans="1:17" ht="14.1" customHeight="1" x14ac:dyDescent="0.2">
      <c r="A13" s="431" t="s">
        <v>295</v>
      </c>
      <c r="B13" s="431"/>
      <c r="C13" s="66">
        <f>K4*4000</f>
        <v>4000</v>
      </c>
      <c r="D13" s="67">
        <f>C13/$K$3</f>
        <v>2.5</v>
      </c>
      <c r="E13" s="68">
        <f>C13/$K$4</f>
        <v>4000</v>
      </c>
      <c r="F13" s="279"/>
      <c r="G13" s="68"/>
      <c r="H13" s="69"/>
      <c r="I13" s="63"/>
      <c r="J13" s="75" t="s">
        <v>106</v>
      </c>
      <c r="K13" s="75"/>
      <c r="L13" s="75"/>
      <c r="M13" s="76" t="s">
        <v>107</v>
      </c>
      <c r="N13" s="76" t="s">
        <v>108</v>
      </c>
      <c r="O13" s="76"/>
      <c r="Q13" s="217"/>
    </row>
    <row r="14" spans="1:17" ht="14.1" customHeight="1" x14ac:dyDescent="0.2">
      <c r="A14" s="429" t="s">
        <v>373</v>
      </c>
      <c r="B14" s="430"/>
      <c r="C14" s="66">
        <f>K4*1000</f>
        <v>1000</v>
      </c>
      <c r="D14" s="67">
        <f t="shared" ref="D14:D78" si="0">C14/$K$3</f>
        <v>0.625</v>
      </c>
      <c r="E14" s="68">
        <f t="shared" ref="E14:E63" si="1">C14/$K$4</f>
        <v>1000</v>
      </c>
      <c r="F14" s="279"/>
      <c r="G14" s="68"/>
      <c r="H14" s="250"/>
      <c r="I14" s="63"/>
      <c r="J14" s="77" t="s">
        <v>109</v>
      </c>
      <c r="K14" s="77"/>
      <c r="L14" s="77"/>
      <c r="M14" s="78">
        <v>200000</v>
      </c>
      <c r="N14" s="79">
        <f>M14/$K$4</f>
        <v>200000</v>
      </c>
      <c r="Q14" s="217"/>
    </row>
    <row r="15" spans="1:17" ht="14.1" customHeight="1" x14ac:dyDescent="0.2">
      <c r="A15" s="429" t="s">
        <v>357</v>
      </c>
      <c r="B15" s="430"/>
      <c r="C15" s="66">
        <f>K4*500</f>
        <v>500</v>
      </c>
      <c r="D15" s="67">
        <f t="shared" si="0"/>
        <v>0.3125</v>
      </c>
      <c r="E15" s="68">
        <f t="shared" si="1"/>
        <v>500</v>
      </c>
      <c r="F15" s="279"/>
      <c r="G15" s="68"/>
      <c r="H15" s="250"/>
      <c r="I15" s="63"/>
      <c r="J15" s="80" t="s">
        <v>111</v>
      </c>
      <c r="K15" s="80"/>
      <c r="L15" s="80"/>
      <c r="M15" s="78">
        <v>15000</v>
      </c>
      <c r="N15" s="79">
        <f>M15/$K$4</f>
        <v>15000</v>
      </c>
      <c r="Q15" s="217"/>
    </row>
    <row r="16" spans="1:17" ht="14.1" customHeight="1" x14ac:dyDescent="0.2">
      <c r="A16" s="431" t="s">
        <v>381</v>
      </c>
      <c r="B16" s="431"/>
      <c r="C16" s="66">
        <f>K4*250</f>
        <v>250</v>
      </c>
      <c r="D16" s="67">
        <f t="shared" si="0"/>
        <v>0.15625</v>
      </c>
      <c r="E16" s="68">
        <f t="shared" si="1"/>
        <v>250</v>
      </c>
      <c r="F16" s="279"/>
      <c r="G16" s="68"/>
      <c r="H16" s="250"/>
      <c r="I16" s="63"/>
      <c r="J16" s="49" t="s">
        <v>112</v>
      </c>
      <c r="L16" s="81">
        <v>0</v>
      </c>
      <c r="M16" s="78">
        <f>M14*L16</f>
        <v>0</v>
      </c>
      <c r="N16" s="79">
        <f>M16/$K$4</f>
        <v>0</v>
      </c>
      <c r="O16" s="82"/>
      <c r="Q16" s="217"/>
    </row>
    <row r="17" spans="1:25" ht="14.1" customHeight="1" x14ac:dyDescent="0.2">
      <c r="A17" s="431" t="s">
        <v>374</v>
      </c>
      <c r="B17" s="431"/>
      <c r="C17" s="66"/>
      <c r="D17" s="67">
        <f t="shared" si="0"/>
        <v>0</v>
      </c>
      <c r="E17" s="68">
        <f t="shared" si="1"/>
        <v>0</v>
      </c>
      <c r="F17" s="279"/>
      <c r="G17" s="68"/>
      <c r="H17" s="250"/>
      <c r="I17" s="63"/>
      <c r="J17" s="49" t="s">
        <v>290</v>
      </c>
      <c r="L17" s="81">
        <v>0</v>
      </c>
      <c r="M17" s="78">
        <f>M14*L17</f>
        <v>0</v>
      </c>
      <c r="Q17" s="217"/>
    </row>
    <row r="18" spans="1:25" ht="14.1" customHeight="1" thickBot="1" x14ac:dyDescent="0.25">
      <c r="A18" s="429" t="s">
        <v>297</v>
      </c>
      <c r="B18" s="430"/>
      <c r="C18" s="66"/>
      <c r="D18" s="67">
        <f t="shared" si="0"/>
        <v>0</v>
      </c>
      <c r="E18" s="68">
        <f t="shared" si="1"/>
        <v>0</v>
      </c>
      <c r="F18" s="279"/>
      <c r="G18" s="68"/>
      <c r="H18" s="250"/>
      <c r="I18" s="63"/>
      <c r="J18" s="83" t="s">
        <v>113</v>
      </c>
      <c r="K18" s="83"/>
      <c r="L18" s="83"/>
      <c r="M18" s="84">
        <f>C119</f>
        <v>436363.99711999996</v>
      </c>
      <c r="N18" s="85">
        <f>M18/$K$4</f>
        <v>436363.99711999996</v>
      </c>
      <c r="O18" s="86"/>
      <c r="Q18" s="217"/>
      <c r="T18" s="76" t="s">
        <v>379</v>
      </c>
    </row>
    <row r="19" spans="1:25" ht="14.1" customHeight="1" thickTop="1" x14ac:dyDescent="0.2">
      <c r="A19" s="429" t="s">
        <v>303</v>
      </c>
      <c r="B19" s="430"/>
      <c r="C19" s="243">
        <f>K4*750</f>
        <v>750</v>
      </c>
      <c r="D19" s="67">
        <f t="shared" si="0"/>
        <v>0.46875</v>
      </c>
      <c r="E19" s="68">
        <f t="shared" si="1"/>
        <v>750</v>
      </c>
      <c r="F19" s="279"/>
      <c r="G19" s="68"/>
      <c r="H19" s="250"/>
      <c r="I19" s="63"/>
      <c r="J19" s="49" t="s">
        <v>114</v>
      </c>
      <c r="M19" s="87">
        <f>SUM(M14:M18)</f>
        <v>651363.99711999996</v>
      </c>
      <c r="N19" s="79">
        <f>M19/$K$4</f>
        <v>651363.99711999996</v>
      </c>
      <c r="Q19" s="217"/>
    </row>
    <row r="20" spans="1:25" ht="14.1" customHeight="1" x14ac:dyDescent="0.2">
      <c r="A20" s="429" t="s">
        <v>331</v>
      </c>
      <c r="B20" s="430"/>
      <c r="C20" s="243">
        <f>K4*750</f>
        <v>750</v>
      </c>
      <c r="D20" s="250">
        <f t="shared" si="0"/>
        <v>0.46875</v>
      </c>
      <c r="E20" s="203">
        <f t="shared" si="1"/>
        <v>750</v>
      </c>
      <c r="F20" s="280"/>
      <c r="G20" s="203"/>
      <c r="H20" s="250"/>
      <c r="I20" s="63"/>
      <c r="J20" s="63"/>
      <c r="K20" s="63"/>
      <c r="L20" s="63"/>
      <c r="M20" s="63"/>
      <c r="Q20" s="217"/>
      <c r="T20" s="75" t="s">
        <v>115</v>
      </c>
      <c r="U20" s="88"/>
      <c r="V20" s="88"/>
      <c r="W20" s="88"/>
      <c r="X20" s="88"/>
      <c r="Y20" s="89"/>
    </row>
    <row r="21" spans="1:25" ht="14.1" customHeight="1" x14ac:dyDescent="0.2">
      <c r="A21" s="255" t="s">
        <v>302</v>
      </c>
      <c r="B21" s="258"/>
      <c r="C21" s="259"/>
      <c r="D21" s="260"/>
      <c r="E21" s="261"/>
      <c r="F21" s="261"/>
      <c r="G21" s="261"/>
      <c r="H21" s="262"/>
      <c r="I21" s="63"/>
      <c r="J21" s="75" t="s">
        <v>384</v>
      </c>
      <c r="K21" s="88"/>
      <c r="L21" s="88"/>
      <c r="M21" s="88"/>
      <c r="N21" s="88"/>
      <c r="O21" s="89"/>
      <c r="Q21" s="217"/>
      <c r="T21" s="49" t="s">
        <v>117</v>
      </c>
      <c r="V21" s="290">
        <v>0.75</v>
      </c>
      <c r="W21" s="90">
        <f>(M14+M15+M16)*V21</f>
        <v>161250</v>
      </c>
      <c r="X21" s="91" t="s">
        <v>118</v>
      </c>
      <c r="Y21" s="92">
        <f>M22/(M14+M15+M16)</f>
        <v>0.75</v>
      </c>
    </row>
    <row r="22" spans="1:25" ht="14.1" customHeight="1" x14ac:dyDescent="0.2">
      <c r="A22" s="436" t="s">
        <v>360</v>
      </c>
      <c r="B22" s="436"/>
      <c r="C22" s="66">
        <v>22000</v>
      </c>
      <c r="D22" s="67">
        <f t="shared" si="0"/>
        <v>13.75</v>
      </c>
      <c r="E22" s="68">
        <f t="shared" si="1"/>
        <v>22000</v>
      </c>
      <c r="F22" s="279"/>
      <c r="G22" s="68"/>
      <c r="H22" s="67"/>
      <c r="I22" s="63"/>
      <c r="J22" s="49" t="s">
        <v>117</v>
      </c>
      <c r="L22" s="241">
        <v>0.75</v>
      </c>
      <c r="M22" s="90">
        <f>(M14+M15+M16)*L22</f>
        <v>161250</v>
      </c>
      <c r="N22" s="91" t="s">
        <v>118</v>
      </c>
      <c r="O22" s="92">
        <f>M22/(M14+M15+M16)</f>
        <v>0.75</v>
      </c>
      <c r="Q22" s="217"/>
      <c r="T22" s="49" t="s">
        <v>119</v>
      </c>
      <c r="W22" s="286">
        <v>5000</v>
      </c>
      <c r="X22" s="54"/>
      <c r="Y22" s="54"/>
    </row>
    <row r="23" spans="1:25" ht="14.1" customHeight="1" x14ac:dyDescent="0.2">
      <c r="A23" s="438" t="s">
        <v>304</v>
      </c>
      <c r="B23" s="439"/>
      <c r="C23" s="66">
        <v>500</v>
      </c>
      <c r="D23" s="67">
        <f t="shared" si="0"/>
        <v>0.3125</v>
      </c>
      <c r="E23" s="68">
        <f t="shared" si="1"/>
        <v>500</v>
      </c>
      <c r="F23" s="279"/>
      <c r="G23" s="68"/>
      <c r="H23" s="250"/>
      <c r="I23" s="63"/>
      <c r="J23" s="49" t="s">
        <v>394</v>
      </c>
      <c r="L23" s="241">
        <v>0.75</v>
      </c>
      <c r="M23" s="90">
        <f>(C94+C97+C98+C99+C100+C101+C102+C103+C104+C105+C107+C108+C110+C111+C113)*L23</f>
        <v>35792.369062500002</v>
      </c>
      <c r="N23" s="91"/>
      <c r="O23" s="92"/>
      <c r="Q23" s="217"/>
      <c r="T23" s="49" t="s">
        <v>120</v>
      </c>
      <c r="V23" s="291">
        <v>0.02</v>
      </c>
      <c r="W23" s="90">
        <f>V23*W21</f>
        <v>3225</v>
      </c>
      <c r="X23" s="54"/>
      <c r="Y23" s="54"/>
    </row>
    <row r="24" spans="1:25" ht="14.1" customHeight="1" thickBot="1" x14ac:dyDescent="0.25">
      <c r="A24" s="438" t="s">
        <v>305</v>
      </c>
      <c r="B24" s="439"/>
      <c r="C24" s="66">
        <v>1500</v>
      </c>
      <c r="D24" s="67">
        <f t="shared" si="0"/>
        <v>0.9375</v>
      </c>
      <c r="E24" s="68">
        <f t="shared" si="1"/>
        <v>1500</v>
      </c>
      <c r="F24" s="279"/>
      <c r="G24" s="68"/>
      <c r="H24" s="250"/>
      <c r="I24" s="63"/>
      <c r="J24" s="49" t="s">
        <v>119</v>
      </c>
      <c r="M24" s="93">
        <v>8500</v>
      </c>
      <c r="N24" s="54"/>
      <c r="Q24" s="217"/>
      <c r="T24" s="83" t="s">
        <v>121</v>
      </c>
      <c r="U24" s="293">
        <v>9</v>
      </c>
      <c r="V24" s="292">
        <v>0.1</v>
      </c>
      <c r="W24" s="84">
        <f>((V24*W21))/12*U24</f>
        <v>12093.75</v>
      </c>
      <c r="X24" s="54"/>
      <c r="Y24" s="54"/>
    </row>
    <row r="25" spans="1:25" ht="14.1" customHeight="1" thickTop="1" x14ac:dyDescent="0.2">
      <c r="A25" s="438" t="s">
        <v>306</v>
      </c>
      <c r="B25" s="439"/>
      <c r="C25" s="243">
        <v>1000</v>
      </c>
      <c r="D25" s="250">
        <f t="shared" si="0"/>
        <v>0.625</v>
      </c>
      <c r="E25" s="203">
        <f t="shared" si="1"/>
        <v>1000</v>
      </c>
      <c r="F25" s="280"/>
      <c r="G25" s="203"/>
      <c r="H25" s="250"/>
      <c r="I25" s="63"/>
      <c r="J25" s="49" t="s">
        <v>386</v>
      </c>
      <c r="L25" s="81">
        <v>0.02</v>
      </c>
      <c r="M25" s="90">
        <f>L25*(M22+M23+M26+M24)</f>
        <v>4406.4109348437505</v>
      </c>
      <c r="N25" s="54"/>
      <c r="Q25" s="217"/>
      <c r="T25" s="49" t="s">
        <v>122</v>
      </c>
      <c r="U25" s="96"/>
      <c r="W25" s="87">
        <f>SUM(W22:W24)</f>
        <v>20318.75</v>
      </c>
      <c r="X25" s="54"/>
      <c r="Y25" s="54"/>
    </row>
    <row r="26" spans="1:25" ht="14.1" customHeight="1" thickBot="1" x14ac:dyDescent="0.25">
      <c r="A26" s="429" t="s">
        <v>372</v>
      </c>
      <c r="B26" s="430"/>
      <c r="C26" s="243"/>
      <c r="D26" s="250">
        <f t="shared" si="0"/>
        <v>0</v>
      </c>
      <c r="E26" s="203">
        <f t="shared" si="1"/>
        <v>0</v>
      </c>
      <c r="F26" s="280"/>
      <c r="G26" s="203"/>
      <c r="H26" s="250"/>
      <c r="I26" s="63"/>
      <c r="J26" s="83" t="s">
        <v>387</v>
      </c>
      <c r="K26" s="94">
        <v>9</v>
      </c>
      <c r="L26" s="95">
        <v>0.1</v>
      </c>
      <c r="M26" s="84">
        <f>((L26*(M22+M23)))/12*K26</f>
        <v>14778.177679687502</v>
      </c>
      <c r="N26" s="54"/>
      <c r="Q26" s="217"/>
    </row>
    <row r="27" spans="1:25" ht="14.1" customHeight="1" thickTop="1" x14ac:dyDescent="0.2">
      <c r="A27" s="437" t="s">
        <v>375</v>
      </c>
      <c r="B27" s="437"/>
      <c r="C27" s="243"/>
      <c r="D27" s="250">
        <f t="shared" si="0"/>
        <v>0</v>
      </c>
      <c r="E27" s="203">
        <f t="shared" si="1"/>
        <v>0</v>
      </c>
      <c r="F27" s="280"/>
      <c r="G27" s="203"/>
      <c r="H27" s="250"/>
      <c r="I27" s="63"/>
      <c r="J27" s="49" t="s">
        <v>389</v>
      </c>
      <c r="K27" s="96"/>
      <c r="M27" s="87">
        <f>SUM(M24:M26)</f>
        <v>27684.588614531254</v>
      </c>
      <c r="N27" s="54"/>
      <c r="Q27" s="217"/>
    </row>
    <row r="28" spans="1:25" ht="14.1" customHeight="1" x14ac:dyDescent="0.2">
      <c r="A28" s="255" t="s">
        <v>307</v>
      </c>
      <c r="B28" s="258"/>
      <c r="C28" s="259"/>
      <c r="D28" s="260"/>
      <c r="E28" s="261"/>
      <c r="F28" s="261"/>
      <c r="G28" s="261"/>
      <c r="H28" s="262"/>
      <c r="I28" s="63"/>
      <c r="Q28" s="217"/>
      <c r="T28" s="75" t="s">
        <v>123</v>
      </c>
      <c r="U28" s="97"/>
      <c r="V28" s="88"/>
      <c r="W28" s="88"/>
      <c r="X28" s="89"/>
      <c r="Y28" s="89"/>
    </row>
    <row r="29" spans="1:25" ht="14.1" customHeight="1" x14ac:dyDescent="0.2">
      <c r="A29" s="429" t="s">
        <v>308</v>
      </c>
      <c r="B29" s="430"/>
      <c r="C29" s="66">
        <f>K4*12000</f>
        <v>12000</v>
      </c>
      <c r="D29" s="67">
        <f t="shared" si="0"/>
        <v>7.5</v>
      </c>
      <c r="E29" s="68">
        <f t="shared" si="1"/>
        <v>12000</v>
      </c>
      <c r="F29" s="279"/>
      <c r="G29" s="68"/>
      <c r="H29" s="67"/>
      <c r="I29" s="63"/>
      <c r="J29" s="75" t="s">
        <v>385</v>
      </c>
      <c r="K29" s="97"/>
      <c r="L29" s="88"/>
      <c r="M29" s="88"/>
      <c r="N29" s="89"/>
      <c r="O29" s="89"/>
      <c r="Q29" s="217"/>
      <c r="T29" s="49" t="s">
        <v>117</v>
      </c>
      <c r="U29" s="96"/>
      <c r="W29" s="90">
        <f>M19-M37</f>
        <v>136363.99711999996</v>
      </c>
      <c r="Y29" s="54"/>
    </row>
    <row r="30" spans="1:25" ht="14.1" customHeight="1" x14ac:dyDescent="0.2">
      <c r="A30" s="429" t="s">
        <v>312</v>
      </c>
      <c r="B30" s="430"/>
      <c r="C30" s="66">
        <f>K4*5000</f>
        <v>5000</v>
      </c>
      <c r="D30" s="67">
        <f t="shared" si="0"/>
        <v>3.125</v>
      </c>
      <c r="E30" s="68">
        <f t="shared" si="1"/>
        <v>5000</v>
      </c>
      <c r="F30" s="279"/>
      <c r="G30" s="68"/>
      <c r="H30" s="67"/>
      <c r="I30" s="63"/>
      <c r="J30" s="49" t="s">
        <v>117</v>
      </c>
      <c r="K30" s="96"/>
      <c r="M30" s="90">
        <f>M19-M37</f>
        <v>136363.99711999996</v>
      </c>
      <c r="T30" s="49" t="s">
        <v>119</v>
      </c>
      <c r="U30" s="96"/>
      <c r="W30" s="286">
        <v>5000</v>
      </c>
      <c r="Y30" s="54"/>
    </row>
    <row r="31" spans="1:25" ht="14.25" customHeight="1" x14ac:dyDescent="0.2">
      <c r="A31" s="429" t="s">
        <v>317</v>
      </c>
      <c r="B31" s="430"/>
      <c r="C31" s="66">
        <f>K4*5000</f>
        <v>5000</v>
      </c>
      <c r="D31" s="67">
        <f t="shared" si="0"/>
        <v>3.125</v>
      </c>
      <c r="E31" s="68">
        <f t="shared" si="1"/>
        <v>5000</v>
      </c>
      <c r="F31" s="279"/>
      <c r="G31" s="68"/>
      <c r="H31" s="67"/>
      <c r="I31" s="63"/>
      <c r="J31" s="49" t="s">
        <v>119</v>
      </c>
      <c r="K31" s="96"/>
      <c r="M31" s="93">
        <v>8500</v>
      </c>
      <c r="T31" s="49" t="s">
        <v>120</v>
      </c>
      <c r="U31" s="96"/>
      <c r="V31" s="291">
        <v>0.02</v>
      </c>
      <c r="W31" s="90">
        <f>V31*W29</f>
        <v>2727.2799423999991</v>
      </c>
      <c r="X31" s="301"/>
      <c r="Y31" s="54"/>
    </row>
    <row r="32" spans="1:25" ht="14.1" customHeight="1" thickBot="1" x14ac:dyDescent="0.25">
      <c r="A32" s="429" t="s">
        <v>359</v>
      </c>
      <c r="B32" s="430"/>
      <c r="C32" s="66">
        <f>K4*3000</f>
        <v>3000</v>
      </c>
      <c r="D32" s="67">
        <f t="shared" si="0"/>
        <v>1.875</v>
      </c>
      <c r="E32" s="68">
        <f t="shared" si="1"/>
        <v>3000</v>
      </c>
      <c r="F32" s="279"/>
      <c r="G32" s="68"/>
      <c r="H32" s="67"/>
      <c r="I32" s="63"/>
      <c r="J32" s="49" t="s">
        <v>386</v>
      </c>
      <c r="K32" s="96"/>
      <c r="L32" s="81">
        <v>0.02</v>
      </c>
      <c r="M32" s="90">
        <f>L32*(M30+M31)</f>
        <v>2897.2799423999991</v>
      </c>
      <c r="N32" s="301"/>
      <c r="T32" s="83" t="s">
        <v>124</v>
      </c>
      <c r="U32" s="293">
        <v>6.5</v>
      </c>
      <c r="V32" s="292">
        <v>0.1</v>
      </c>
      <c r="W32" s="84">
        <f>((V32*W29))/12*U32</f>
        <v>7386.3831773333313</v>
      </c>
      <c r="Y32" s="54"/>
    </row>
    <row r="33" spans="1:25" ht="14.1" customHeight="1" thickTop="1" thickBot="1" x14ac:dyDescent="0.25">
      <c r="A33" s="429" t="s">
        <v>376</v>
      </c>
      <c r="B33" s="430"/>
      <c r="C33" s="66"/>
      <c r="D33" s="67">
        <f t="shared" si="0"/>
        <v>0</v>
      </c>
      <c r="E33" s="68">
        <f t="shared" si="1"/>
        <v>0</v>
      </c>
      <c r="F33" s="279"/>
      <c r="G33" s="68"/>
      <c r="H33" s="67"/>
      <c r="I33" s="63"/>
      <c r="J33" s="83" t="s">
        <v>387</v>
      </c>
      <c r="K33" s="94">
        <v>6.5</v>
      </c>
      <c r="L33" s="95">
        <v>0.1</v>
      </c>
      <c r="M33" s="84">
        <f>((L33*M30))/12*K33</f>
        <v>7386.3831773333313</v>
      </c>
      <c r="T33" s="49" t="s">
        <v>267</v>
      </c>
      <c r="W33" s="87">
        <f>SUM(W30:W32)</f>
        <v>15113.66311973333</v>
      </c>
      <c r="Y33" s="54"/>
    </row>
    <row r="34" spans="1:25" ht="14.1" customHeight="1" thickTop="1" x14ac:dyDescent="0.2">
      <c r="A34" s="429" t="s">
        <v>349</v>
      </c>
      <c r="B34" s="430"/>
      <c r="C34" s="66">
        <f>K4*14000</f>
        <v>14000</v>
      </c>
      <c r="D34" s="67">
        <f t="shared" si="0"/>
        <v>8.75</v>
      </c>
      <c r="E34" s="68">
        <f t="shared" si="1"/>
        <v>14000</v>
      </c>
      <c r="F34" s="279"/>
      <c r="G34" s="68"/>
      <c r="H34" s="67"/>
      <c r="I34" s="63"/>
      <c r="J34" s="49" t="s">
        <v>388</v>
      </c>
      <c r="M34" s="87">
        <f>SUM(M31:M33)</f>
        <v>18783.66311973333</v>
      </c>
    </row>
    <row r="35" spans="1:25" ht="14.1" customHeight="1" x14ac:dyDescent="0.2">
      <c r="A35" s="429" t="s">
        <v>325</v>
      </c>
      <c r="B35" s="430"/>
      <c r="C35" s="66">
        <f>K4*500</f>
        <v>500</v>
      </c>
      <c r="D35" s="67">
        <f t="shared" si="0"/>
        <v>0.3125</v>
      </c>
      <c r="E35" s="68">
        <f t="shared" si="1"/>
        <v>500</v>
      </c>
      <c r="F35" s="279"/>
      <c r="G35" s="68"/>
      <c r="H35" s="67"/>
      <c r="I35" s="63"/>
    </row>
    <row r="36" spans="1:25" ht="14.1" customHeight="1" x14ac:dyDescent="0.2">
      <c r="A36" s="429" t="s">
        <v>309</v>
      </c>
      <c r="B36" s="430"/>
      <c r="C36" s="66"/>
      <c r="D36" s="67">
        <f t="shared" si="0"/>
        <v>0</v>
      </c>
      <c r="E36" s="68">
        <f t="shared" si="1"/>
        <v>0</v>
      </c>
      <c r="F36" s="279"/>
      <c r="G36" s="68"/>
      <c r="H36" s="67"/>
      <c r="I36" s="63"/>
      <c r="J36" s="98" t="s">
        <v>392</v>
      </c>
      <c r="K36" s="98"/>
      <c r="L36" s="98"/>
      <c r="M36" s="99">
        <f>M34+M27+M19</f>
        <v>697832.2488542645</v>
      </c>
      <c r="N36" s="98"/>
      <c r="O36" s="100"/>
    </row>
    <row r="37" spans="1:25" ht="14.1" customHeight="1" x14ac:dyDescent="0.2">
      <c r="A37" s="429" t="s">
        <v>310</v>
      </c>
      <c r="B37" s="430"/>
      <c r="C37" s="66">
        <f>K4*5000</f>
        <v>5000</v>
      </c>
      <c r="D37" s="67">
        <f t="shared" si="0"/>
        <v>3.125</v>
      </c>
      <c r="E37" s="68">
        <f t="shared" si="1"/>
        <v>5000</v>
      </c>
      <c r="F37" s="279"/>
      <c r="G37" s="68"/>
      <c r="H37" s="67"/>
      <c r="I37" s="63"/>
      <c r="J37" s="49" t="s">
        <v>390</v>
      </c>
      <c r="K37" s="101"/>
      <c r="L37" s="242"/>
      <c r="M37" s="102">
        <v>515000</v>
      </c>
      <c r="N37" s="91" t="s">
        <v>127</v>
      </c>
      <c r="O37" s="103">
        <f>M40/(M58+M38)</f>
        <v>0.203146943171405</v>
      </c>
    </row>
    <row r="38" spans="1:25" ht="14.1" customHeight="1" x14ac:dyDescent="0.2">
      <c r="A38" s="429" t="s">
        <v>377</v>
      </c>
      <c r="B38" s="430"/>
      <c r="C38" s="66"/>
      <c r="D38" s="67">
        <f t="shared" si="0"/>
        <v>0</v>
      </c>
      <c r="E38" s="68">
        <f t="shared" si="1"/>
        <v>0</v>
      </c>
      <c r="F38" s="279"/>
      <c r="G38" s="68"/>
      <c r="H38" s="67"/>
      <c r="I38" s="63"/>
      <c r="J38" s="49" t="s">
        <v>128</v>
      </c>
      <c r="L38" s="104">
        <v>0</v>
      </c>
      <c r="M38" s="87">
        <f>M36*L38</f>
        <v>0</v>
      </c>
      <c r="N38" s="91" t="s">
        <v>129</v>
      </c>
      <c r="O38" s="103">
        <f>(M40-M38)/M36</f>
        <v>0.26200028610665033</v>
      </c>
    </row>
    <row r="39" spans="1:25" ht="14.1" customHeight="1" x14ac:dyDescent="0.2">
      <c r="A39" s="255" t="s">
        <v>313</v>
      </c>
      <c r="B39" s="258"/>
      <c r="C39" s="259"/>
      <c r="D39" s="260"/>
      <c r="E39" s="261"/>
      <c r="F39" s="261"/>
      <c r="G39" s="261"/>
      <c r="H39" s="262"/>
      <c r="I39" s="63"/>
      <c r="J39" s="49" t="s">
        <v>130</v>
      </c>
      <c r="L39" s="81">
        <v>0.1</v>
      </c>
      <c r="M39" s="105">
        <f>L39*M37</f>
        <v>51500</v>
      </c>
      <c r="O39" s="49"/>
    </row>
    <row r="40" spans="1:25" ht="14.1" customHeight="1" thickBot="1" x14ac:dyDescent="0.25">
      <c r="A40" s="429" t="s">
        <v>314</v>
      </c>
      <c r="B40" s="430"/>
      <c r="C40" s="66">
        <f>K3*20</f>
        <v>32000</v>
      </c>
      <c r="D40" s="67">
        <f t="shared" si="0"/>
        <v>20</v>
      </c>
      <c r="E40" s="68">
        <f t="shared" si="1"/>
        <v>32000</v>
      </c>
      <c r="F40" s="279"/>
      <c r="G40" s="68"/>
      <c r="H40" s="67"/>
      <c r="I40" s="63"/>
      <c r="J40" s="106" t="s">
        <v>391</v>
      </c>
      <c r="K40" s="106"/>
      <c r="L40" s="106"/>
      <c r="M40" s="107">
        <f>M36-M37</f>
        <v>182832.2488542645</v>
      </c>
      <c r="N40" s="106"/>
      <c r="O40" s="106"/>
    </row>
    <row r="41" spans="1:25" ht="14.1" customHeight="1" thickTop="1" x14ac:dyDescent="0.2">
      <c r="A41" s="429" t="s">
        <v>315</v>
      </c>
      <c r="B41" s="430"/>
      <c r="C41" s="66">
        <f>K3*11</f>
        <v>17600</v>
      </c>
      <c r="D41" s="67">
        <f t="shared" si="0"/>
        <v>11</v>
      </c>
      <c r="E41" s="68">
        <f t="shared" si="1"/>
        <v>17600</v>
      </c>
      <c r="F41" s="279"/>
      <c r="G41" s="68"/>
      <c r="H41" s="67"/>
      <c r="I41" s="63"/>
    </row>
    <row r="42" spans="1:25" ht="14.1" customHeight="1" thickBot="1" x14ac:dyDescent="0.25">
      <c r="A42" s="429" t="s">
        <v>328</v>
      </c>
      <c r="B42" s="430"/>
      <c r="C42" s="66"/>
      <c r="D42" s="67">
        <f t="shared" si="0"/>
        <v>0</v>
      </c>
      <c r="E42" s="68">
        <f t="shared" si="1"/>
        <v>0</v>
      </c>
      <c r="F42" s="279"/>
      <c r="G42" s="68"/>
      <c r="H42" s="67"/>
      <c r="I42" s="63"/>
    </row>
    <row r="43" spans="1:25" ht="14.1" customHeight="1" thickBot="1" x14ac:dyDescent="0.25">
      <c r="A43" s="429" t="s">
        <v>346</v>
      </c>
      <c r="B43" s="430"/>
      <c r="C43" s="66">
        <f>K4*1000</f>
        <v>1000</v>
      </c>
      <c r="D43" s="67">
        <f t="shared" si="0"/>
        <v>0.625</v>
      </c>
      <c r="E43" s="68">
        <f t="shared" si="1"/>
        <v>1000</v>
      </c>
      <c r="F43" s="279"/>
      <c r="G43" s="68"/>
      <c r="H43" s="67"/>
      <c r="I43" s="63"/>
      <c r="J43" s="435" t="s">
        <v>131</v>
      </c>
      <c r="K43" s="435"/>
      <c r="L43" s="435"/>
      <c r="M43" s="435"/>
      <c r="N43" s="435"/>
      <c r="O43" s="435"/>
      <c r="Q43" s="294" t="s">
        <v>380</v>
      </c>
      <c r="R43" s="46"/>
      <c r="T43" s="294" t="s">
        <v>380</v>
      </c>
      <c r="U43" s="43"/>
    </row>
    <row r="44" spans="1:25" ht="14.1" customHeight="1" x14ac:dyDescent="0.2">
      <c r="A44" s="429" t="s">
        <v>347</v>
      </c>
      <c r="B44" s="430"/>
      <c r="C44" s="66">
        <f>K4*500</f>
        <v>500</v>
      </c>
      <c r="D44" s="67">
        <f t="shared" si="0"/>
        <v>0.3125</v>
      </c>
      <c r="E44" s="68">
        <f t="shared" si="1"/>
        <v>500</v>
      </c>
      <c r="F44" s="279"/>
      <c r="G44" s="68"/>
      <c r="H44" s="67"/>
      <c r="I44" s="63"/>
    </row>
    <row r="45" spans="1:25" ht="14.1" customHeight="1" x14ac:dyDescent="0.2">
      <c r="A45" s="440" t="s">
        <v>125</v>
      </c>
      <c r="B45" s="441"/>
      <c r="C45" s="66">
        <f>K4*11500</f>
        <v>11500</v>
      </c>
      <c r="D45" s="67">
        <f t="shared" si="0"/>
        <v>7.1875</v>
      </c>
      <c r="E45" s="68">
        <f t="shared" si="1"/>
        <v>11500</v>
      </c>
      <c r="F45" s="279"/>
      <c r="G45" s="68"/>
      <c r="H45" s="67"/>
      <c r="I45" s="63"/>
      <c r="J45" s="76" t="s">
        <v>393</v>
      </c>
      <c r="K45" s="76" t="s">
        <v>132</v>
      </c>
      <c r="L45" s="76" t="s">
        <v>133</v>
      </c>
      <c r="M45" s="76" t="s">
        <v>134</v>
      </c>
      <c r="N45" s="76" t="s">
        <v>135</v>
      </c>
      <c r="O45" s="76" t="s">
        <v>136</v>
      </c>
      <c r="Q45" s="245" t="s">
        <v>370</v>
      </c>
      <c r="R45" s="76" t="s">
        <v>291</v>
      </c>
      <c r="T45" s="245" t="s">
        <v>371</v>
      </c>
      <c r="U45" s="76" t="s">
        <v>291</v>
      </c>
    </row>
    <row r="46" spans="1:25" ht="14.1" customHeight="1" x14ac:dyDescent="0.2">
      <c r="A46" s="440" t="s">
        <v>126</v>
      </c>
      <c r="B46" s="441"/>
      <c r="C46" s="66">
        <f>K4*11000</f>
        <v>11000</v>
      </c>
      <c r="D46" s="67">
        <f t="shared" si="0"/>
        <v>6.875</v>
      </c>
      <c r="E46" s="68">
        <f t="shared" si="1"/>
        <v>11000</v>
      </c>
      <c r="F46" s="279"/>
      <c r="G46" s="68"/>
      <c r="H46" s="67"/>
      <c r="I46" s="63"/>
      <c r="J46" s="49" t="s">
        <v>137</v>
      </c>
      <c r="K46" s="108">
        <v>1600</v>
      </c>
      <c r="L46" s="108">
        <f>K46</f>
        <v>1600</v>
      </c>
      <c r="M46" s="93">
        <v>900000</v>
      </c>
      <c r="N46" s="109" t="s">
        <v>138</v>
      </c>
      <c r="O46" s="79">
        <f t="shared" ref="O46:O57" si="2">IFERROR(M46/L46,"")</f>
        <v>562.5</v>
      </c>
      <c r="Q46" s="249">
        <v>775000</v>
      </c>
      <c r="R46" s="246">
        <f t="shared" ref="R46:R57" si="3">IFERROR(Q46/L46,"")</f>
        <v>484.375</v>
      </c>
      <c r="T46" s="286">
        <v>765000</v>
      </c>
      <c r="U46" s="287">
        <f t="shared" ref="U46:U57" si="4">IFERROR(T46/K46,"")</f>
        <v>478.125</v>
      </c>
    </row>
    <row r="47" spans="1:25" ht="14.1" customHeight="1" x14ac:dyDescent="0.2">
      <c r="A47" s="440" t="s">
        <v>316</v>
      </c>
      <c r="B47" s="441"/>
      <c r="C47" s="66">
        <f>K4*9500</f>
        <v>9500</v>
      </c>
      <c r="D47" s="67">
        <f t="shared" si="0"/>
        <v>5.9375</v>
      </c>
      <c r="E47" s="68">
        <f t="shared" si="1"/>
        <v>9500</v>
      </c>
      <c r="F47" s="279"/>
      <c r="G47" s="68"/>
      <c r="H47" s="67"/>
      <c r="I47" s="63"/>
      <c r="J47" s="49" t="s">
        <v>139</v>
      </c>
      <c r="K47" s="108"/>
      <c r="L47" s="108"/>
      <c r="M47" s="93"/>
      <c r="N47" s="211"/>
      <c r="O47" s="79" t="str">
        <f t="shared" si="2"/>
        <v/>
      </c>
      <c r="Q47" s="249">
        <v>775000</v>
      </c>
      <c r="R47" s="246" t="str">
        <f t="shared" si="3"/>
        <v/>
      </c>
      <c r="T47" s="286">
        <v>765000</v>
      </c>
      <c r="U47" s="287" t="str">
        <f t="shared" si="4"/>
        <v/>
      </c>
    </row>
    <row r="48" spans="1:25" ht="14.1" customHeight="1" x14ac:dyDescent="0.2">
      <c r="A48" s="440" t="s">
        <v>365</v>
      </c>
      <c r="B48" s="441"/>
      <c r="C48" s="66">
        <f>K4*2000</f>
        <v>2000</v>
      </c>
      <c r="D48" s="67">
        <f t="shared" si="0"/>
        <v>1.25</v>
      </c>
      <c r="E48" s="68">
        <f t="shared" si="1"/>
        <v>2000</v>
      </c>
      <c r="F48" s="279"/>
      <c r="G48" s="68"/>
      <c r="H48" s="67"/>
      <c r="I48" s="63"/>
      <c r="J48" s="49" t="s">
        <v>395</v>
      </c>
      <c r="K48" s="108"/>
      <c r="L48" s="108"/>
      <c r="M48" s="93"/>
      <c r="N48" s="211"/>
      <c r="O48" s="79" t="str">
        <f t="shared" si="2"/>
        <v/>
      </c>
      <c r="Q48" s="249">
        <v>775000</v>
      </c>
      <c r="R48" s="246" t="str">
        <f t="shared" si="3"/>
        <v/>
      </c>
      <c r="T48" s="286">
        <v>765000</v>
      </c>
      <c r="U48" s="287" t="str">
        <f t="shared" si="4"/>
        <v/>
      </c>
    </row>
    <row r="49" spans="1:21" ht="14.1" customHeight="1" x14ac:dyDescent="0.2">
      <c r="A49" s="440" t="s">
        <v>366</v>
      </c>
      <c r="B49" s="441"/>
      <c r="C49" s="66">
        <f>K4*2500</f>
        <v>2500</v>
      </c>
      <c r="D49" s="67">
        <f t="shared" si="0"/>
        <v>1.5625</v>
      </c>
      <c r="E49" s="68">
        <f t="shared" si="1"/>
        <v>2500</v>
      </c>
      <c r="F49" s="279"/>
      <c r="G49" s="68"/>
      <c r="H49" s="67"/>
      <c r="I49" s="63"/>
      <c r="J49" s="49" t="s">
        <v>141</v>
      </c>
      <c r="K49" s="108"/>
      <c r="L49" s="108"/>
      <c r="M49" s="93"/>
      <c r="N49" s="211"/>
      <c r="O49" s="79" t="str">
        <f t="shared" si="2"/>
        <v/>
      </c>
      <c r="Q49" s="249">
        <v>775000</v>
      </c>
      <c r="R49" s="246" t="str">
        <f t="shared" si="3"/>
        <v/>
      </c>
      <c r="T49" s="286">
        <v>765000</v>
      </c>
      <c r="U49" s="287" t="str">
        <f t="shared" si="4"/>
        <v/>
      </c>
    </row>
    <row r="50" spans="1:21" ht="14.1" customHeight="1" x14ac:dyDescent="0.2">
      <c r="A50" s="442" t="s">
        <v>367</v>
      </c>
      <c r="B50" s="442"/>
      <c r="C50" s="66">
        <f>K3*3.5</f>
        <v>5600</v>
      </c>
      <c r="D50" s="67">
        <f t="shared" si="0"/>
        <v>3.5</v>
      </c>
      <c r="E50" s="68">
        <f t="shared" si="1"/>
        <v>5600</v>
      </c>
      <c r="F50" s="279"/>
      <c r="G50" s="68"/>
      <c r="H50" s="67"/>
      <c r="I50" s="63"/>
      <c r="J50" s="49" t="s">
        <v>142</v>
      </c>
      <c r="K50" s="108"/>
      <c r="L50" s="108"/>
      <c r="M50" s="93"/>
      <c r="N50" s="211"/>
      <c r="O50" s="79" t="str">
        <f t="shared" si="2"/>
        <v/>
      </c>
      <c r="Q50" s="249">
        <v>775000</v>
      </c>
      <c r="R50" s="246" t="str">
        <f t="shared" si="3"/>
        <v/>
      </c>
      <c r="T50" s="286">
        <v>765000</v>
      </c>
      <c r="U50" s="287" t="str">
        <f t="shared" si="4"/>
        <v/>
      </c>
    </row>
    <row r="51" spans="1:21" ht="14.1" customHeight="1" x14ac:dyDescent="0.2">
      <c r="A51" s="429" t="s">
        <v>318</v>
      </c>
      <c r="B51" s="430"/>
      <c r="C51" s="66">
        <f>K4*1000</f>
        <v>1000</v>
      </c>
      <c r="D51" s="67">
        <f t="shared" si="0"/>
        <v>0.625</v>
      </c>
      <c r="E51" s="68">
        <f t="shared" si="1"/>
        <v>1000</v>
      </c>
      <c r="F51" s="279"/>
      <c r="G51" s="68"/>
      <c r="H51" s="67"/>
      <c r="I51" s="63"/>
      <c r="J51" s="49" t="s">
        <v>143</v>
      </c>
      <c r="K51" s="108"/>
      <c r="L51" s="108"/>
      <c r="M51" s="93"/>
      <c r="N51" s="110"/>
      <c r="O51" s="79" t="str">
        <f t="shared" si="2"/>
        <v/>
      </c>
      <c r="Q51" s="249">
        <v>775000</v>
      </c>
      <c r="R51" s="246" t="str">
        <f t="shared" si="3"/>
        <v/>
      </c>
      <c r="T51" s="286">
        <v>765000</v>
      </c>
      <c r="U51" s="287" t="str">
        <f t="shared" si="4"/>
        <v/>
      </c>
    </row>
    <row r="52" spans="1:21" ht="14.1" customHeight="1" x14ac:dyDescent="0.2">
      <c r="A52" s="429" t="s">
        <v>319</v>
      </c>
      <c r="B52" s="430"/>
      <c r="C52" s="66">
        <f>K3*3.75</f>
        <v>6000</v>
      </c>
      <c r="D52" s="67">
        <f t="shared" si="0"/>
        <v>3.75</v>
      </c>
      <c r="E52" s="68">
        <f t="shared" si="1"/>
        <v>6000</v>
      </c>
      <c r="F52" s="279"/>
      <c r="G52" s="68"/>
      <c r="H52" s="67"/>
      <c r="I52" s="63"/>
      <c r="J52" s="49" t="s">
        <v>144</v>
      </c>
      <c r="K52" s="108"/>
      <c r="L52" s="108"/>
      <c r="M52" s="93"/>
      <c r="N52" s="110"/>
      <c r="O52" s="79" t="str">
        <f t="shared" si="2"/>
        <v/>
      </c>
      <c r="Q52" s="246"/>
      <c r="R52" s="246" t="str">
        <f t="shared" si="3"/>
        <v/>
      </c>
      <c r="T52" s="287"/>
      <c r="U52" s="287" t="str">
        <f t="shared" si="4"/>
        <v/>
      </c>
    </row>
    <row r="53" spans="1:21" ht="14.1" customHeight="1" x14ac:dyDescent="0.2">
      <c r="A53" s="429" t="s">
        <v>327</v>
      </c>
      <c r="B53" s="430"/>
      <c r="C53" s="66"/>
      <c r="D53" s="67">
        <f t="shared" si="0"/>
        <v>0</v>
      </c>
      <c r="E53" s="68">
        <f t="shared" si="1"/>
        <v>0</v>
      </c>
      <c r="F53" s="279"/>
      <c r="G53" s="68"/>
      <c r="H53" s="67"/>
      <c r="I53" s="63"/>
      <c r="J53" s="49" t="s">
        <v>145</v>
      </c>
      <c r="K53" s="108"/>
      <c r="L53" s="108"/>
      <c r="M53" s="93"/>
      <c r="N53" s="110"/>
      <c r="O53" s="79" t="str">
        <f t="shared" si="2"/>
        <v/>
      </c>
      <c r="Q53" s="246"/>
      <c r="R53" s="246" t="str">
        <f t="shared" si="3"/>
        <v/>
      </c>
      <c r="T53" s="287"/>
      <c r="U53" s="287" t="str">
        <f t="shared" si="4"/>
        <v/>
      </c>
    </row>
    <row r="54" spans="1:21" ht="14.1" customHeight="1" x14ac:dyDescent="0.2">
      <c r="A54" s="429" t="s">
        <v>326</v>
      </c>
      <c r="B54" s="430"/>
      <c r="C54" s="66">
        <f>K3*10</f>
        <v>16000</v>
      </c>
      <c r="D54" s="67">
        <f t="shared" si="0"/>
        <v>10</v>
      </c>
      <c r="E54" s="68">
        <f t="shared" si="1"/>
        <v>16000</v>
      </c>
      <c r="F54" s="279"/>
      <c r="G54" s="68"/>
      <c r="H54" s="67"/>
      <c r="I54" s="63"/>
      <c r="J54" s="49" t="s">
        <v>146</v>
      </c>
      <c r="K54" s="108"/>
      <c r="L54" s="108"/>
      <c r="M54" s="93"/>
      <c r="N54" s="110"/>
      <c r="O54" s="79" t="str">
        <f t="shared" si="2"/>
        <v/>
      </c>
      <c r="Q54" s="246"/>
      <c r="R54" s="246" t="str">
        <f t="shared" si="3"/>
        <v/>
      </c>
      <c r="T54" s="287"/>
      <c r="U54" s="287" t="str">
        <f t="shared" si="4"/>
        <v/>
      </c>
    </row>
    <row r="55" spans="1:21" ht="14.1" customHeight="1" x14ac:dyDescent="0.2">
      <c r="A55" s="429" t="s">
        <v>320</v>
      </c>
      <c r="B55" s="430"/>
      <c r="C55" s="66"/>
      <c r="D55" s="67">
        <f t="shared" si="0"/>
        <v>0</v>
      </c>
      <c r="E55" s="68">
        <f t="shared" si="1"/>
        <v>0</v>
      </c>
      <c r="F55" s="279"/>
      <c r="G55" s="68"/>
      <c r="H55" s="67"/>
      <c r="I55" s="63"/>
      <c r="J55" s="49" t="s">
        <v>148</v>
      </c>
      <c r="K55" s="108"/>
      <c r="L55" s="108"/>
      <c r="M55" s="93"/>
      <c r="N55" s="110"/>
      <c r="O55" s="79" t="str">
        <f t="shared" si="2"/>
        <v/>
      </c>
      <c r="Q55" s="246"/>
      <c r="R55" s="246" t="str">
        <f t="shared" si="3"/>
        <v/>
      </c>
      <c r="T55" s="287"/>
      <c r="U55" s="287" t="str">
        <f t="shared" si="4"/>
        <v/>
      </c>
    </row>
    <row r="56" spans="1:21" ht="14.1" customHeight="1" x14ac:dyDescent="0.2">
      <c r="A56" s="429" t="s">
        <v>321</v>
      </c>
      <c r="B56" s="430"/>
      <c r="C56" s="66">
        <f>K3*4</f>
        <v>6400</v>
      </c>
      <c r="D56" s="67">
        <f t="shared" si="0"/>
        <v>4</v>
      </c>
      <c r="E56" s="68">
        <f t="shared" si="1"/>
        <v>6400</v>
      </c>
      <c r="F56" s="279"/>
      <c r="G56" s="68"/>
      <c r="H56" s="67"/>
      <c r="I56" s="63"/>
      <c r="J56" s="49" t="s">
        <v>149</v>
      </c>
      <c r="K56" s="108"/>
      <c r="L56" s="108"/>
      <c r="M56" s="93"/>
      <c r="N56" s="110"/>
      <c r="O56" s="79" t="str">
        <f t="shared" si="2"/>
        <v/>
      </c>
      <c r="Q56" s="246"/>
      <c r="R56" s="246" t="str">
        <f t="shared" si="3"/>
        <v/>
      </c>
      <c r="T56" s="287"/>
      <c r="U56" s="287" t="str">
        <f t="shared" si="4"/>
        <v/>
      </c>
    </row>
    <row r="57" spans="1:21" ht="14.1" customHeight="1" thickBot="1" x14ac:dyDescent="0.25">
      <c r="A57" s="429" t="s">
        <v>329</v>
      </c>
      <c r="B57" s="430"/>
      <c r="C57" s="66">
        <f>K4*7000</f>
        <v>7000</v>
      </c>
      <c r="D57" s="67">
        <f t="shared" si="0"/>
        <v>4.375</v>
      </c>
      <c r="E57" s="68">
        <f t="shared" si="1"/>
        <v>7000</v>
      </c>
      <c r="F57" s="279"/>
      <c r="G57" s="68"/>
      <c r="H57" s="67"/>
      <c r="I57" s="63"/>
      <c r="J57" s="83" t="s">
        <v>150</v>
      </c>
      <c r="K57" s="112"/>
      <c r="L57" s="112"/>
      <c r="M57" s="113"/>
      <c r="N57" s="114"/>
      <c r="O57" s="85" t="str">
        <f t="shared" si="2"/>
        <v/>
      </c>
      <c r="Q57" s="247"/>
      <c r="R57" s="247" t="str">
        <f t="shared" si="3"/>
        <v/>
      </c>
      <c r="T57" s="288"/>
      <c r="U57" s="288" t="str">
        <f t="shared" si="4"/>
        <v/>
      </c>
    </row>
    <row r="58" spans="1:21" ht="14.1" customHeight="1" thickTop="1" x14ac:dyDescent="0.2">
      <c r="A58" s="440" t="s">
        <v>116</v>
      </c>
      <c r="B58" s="441"/>
      <c r="C58" s="66">
        <f>K4*1500</f>
        <v>1500</v>
      </c>
      <c r="D58" s="67">
        <f t="shared" si="0"/>
        <v>0.9375</v>
      </c>
      <c r="E58" s="68">
        <f t="shared" si="1"/>
        <v>1500</v>
      </c>
      <c r="F58" s="279"/>
      <c r="G58" s="68"/>
      <c r="H58" s="67"/>
      <c r="I58" s="63"/>
      <c r="K58" s="115">
        <f>SUM(K46:K57)</f>
        <v>1600</v>
      </c>
      <c r="L58" s="115">
        <f>SUM(L46:L57)</f>
        <v>1600</v>
      </c>
      <c r="M58" s="115">
        <f>SUM(M46:M57)</f>
        <v>900000</v>
      </c>
      <c r="O58" s="79">
        <f>M58/L58</f>
        <v>562.5</v>
      </c>
      <c r="Q58" s="79">
        <f>SUM(Q46:Q57)</f>
        <v>4650000</v>
      </c>
      <c r="R58" s="79">
        <f>Q58/L58</f>
        <v>2906.25</v>
      </c>
      <c r="T58" s="79">
        <f>SUM(T46:T57)</f>
        <v>4590000</v>
      </c>
      <c r="U58" s="79">
        <f>T58/O58</f>
        <v>8160</v>
      </c>
    </row>
    <row r="59" spans="1:21" ht="14.1" customHeight="1" x14ac:dyDescent="0.2">
      <c r="A59" s="429" t="s">
        <v>322</v>
      </c>
      <c r="B59" s="430"/>
      <c r="C59" s="66">
        <f>K4*2000</f>
        <v>2000</v>
      </c>
      <c r="D59" s="67">
        <f t="shared" si="0"/>
        <v>1.25</v>
      </c>
      <c r="E59" s="68">
        <f t="shared" si="1"/>
        <v>2000</v>
      </c>
      <c r="F59" s="279"/>
      <c r="G59" s="68"/>
      <c r="H59" s="67"/>
      <c r="I59" s="63"/>
      <c r="Q59" s="79"/>
      <c r="R59" s="49"/>
      <c r="T59" s="79"/>
    </row>
    <row r="60" spans="1:21" ht="14.1" customHeight="1" x14ac:dyDescent="0.2">
      <c r="A60" s="429" t="s">
        <v>323</v>
      </c>
      <c r="B60" s="430"/>
      <c r="C60" s="66"/>
      <c r="D60" s="67">
        <f t="shared" si="0"/>
        <v>0</v>
      </c>
      <c r="E60" s="68">
        <f t="shared" si="1"/>
        <v>0</v>
      </c>
      <c r="F60" s="279"/>
      <c r="G60" s="68"/>
      <c r="H60" s="67"/>
      <c r="I60" s="63"/>
      <c r="M60" s="122" t="s">
        <v>107</v>
      </c>
      <c r="N60" s="122" t="s">
        <v>108</v>
      </c>
      <c r="Q60" s="76" t="s">
        <v>107</v>
      </c>
      <c r="R60" s="76" t="s">
        <v>108</v>
      </c>
      <c r="T60" s="76" t="s">
        <v>107</v>
      </c>
      <c r="U60" s="76" t="s">
        <v>108</v>
      </c>
    </row>
    <row r="61" spans="1:21" ht="14.1" customHeight="1" x14ac:dyDescent="0.2">
      <c r="A61" s="429" t="s">
        <v>324</v>
      </c>
      <c r="B61" s="430"/>
      <c r="C61" s="66">
        <f>K4*7000</f>
        <v>7000</v>
      </c>
      <c r="D61" s="67">
        <f t="shared" si="0"/>
        <v>4.375</v>
      </c>
      <c r="E61" s="68">
        <f t="shared" si="1"/>
        <v>7000</v>
      </c>
      <c r="F61" s="279"/>
      <c r="G61" s="68"/>
      <c r="H61" s="67"/>
      <c r="I61" s="63"/>
      <c r="J61" s="126" t="s">
        <v>155</v>
      </c>
      <c r="K61" s="98"/>
      <c r="L61" s="218">
        <v>1</v>
      </c>
      <c r="M61" s="127">
        <f>M58*L61</f>
        <v>900000</v>
      </c>
      <c r="N61" s="128">
        <f>M61/$K$4</f>
        <v>900000</v>
      </c>
      <c r="Q61" s="79">
        <f>Q58</f>
        <v>4650000</v>
      </c>
      <c r="R61" s="135">
        <f>Q61/$K$4</f>
        <v>4650000</v>
      </c>
      <c r="T61" s="127">
        <f>T58*L61</f>
        <v>4590000</v>
      </c>
      <c r="U61" s="128">
        <f>T61/$K$4</f>
        <v>4590000</v>
      </c>
    </row>
    <row r="62" spans="1:21" ht="14.1" customHeight="1" x14ac:dyDescent="0.2">
      <c r="A62" s="429" t="s">
        <v>361</v>
      </c>
      <c r="B62" s="430"/>
      <c r="C62" s="243">
        <f>K3*8.5</f>
        <v>13600</v>
      </c>
      <c r="D62" s="250">
        <f t="shared" si="0"/>
        <v>8.5</v>
      </c>
      <c r="E62" s="203">
        <f t="shared" si="1"/>
        <v>13600</v>
      </c>
      <c r="F62" s="280"/>
      <c r="G62" s="203"/>
      <c r="H62" s="250"/>
      <c r="I62" s="63"/>
      <c r="J62" s="133" t="s">
        <v>157</v>
      </c>
      <c r="L62" s="215">
        <v>8.2500000000000004E-2</v>
      </c>
      <c r="M62" s="134">
        <f>M61*L62</f>
        <v>74250</v>
      </c>
      <c r="N62" s="135">
        <f>M62/$K$4</f>
        <v>74250</v>
      </c>
      <c r="Q62" s="134">
        <f>Q61*L62</f>
        <v>383625</v>
      </c>
      <c r="R62" s="135">
        <f>Q62/$K$4</f>
        <v>383625</v>
      </c>
      <c r="T62" s="134">
        <f>T61*L62</f>
        <v>378675</v>
      </c>
      <c r="U62" s="135">
        <f t="shared" ref="U62:U65" si="5">T62/$K$4</f>
        <v>378675</v>
      </c>
    </row>
    <row r="63" spans="1:21" ht="14.1" customHeight="1" x14ac:dyDescent="0.2">
      <c r="A63" s="443" t="s">
        <v>336</v>
      </c>
      <c r="B63" s="444"/>
      <c r="C63" s="263">
        <f>K3*4</f>
        <v>6400</v>
      </c>
      <c r="D63" s="257">
        <f t="shared" si="0"/>
        <v>4</v>
      </c>
      <c r="E63" s="268">
        <f t="shared" si="1"/>
        <v>6400</v>
      </c>
      <c r="F63" s="281"/>
      <c r="G63" s="268"/>
      <c r="H63" s="257"/>
      <c r="I63" s="63"/>
      <c r="J63" s="80" t="s">
        <v>158</v>
      </c>
      <c r="K63" s="80"/>
      <c r="L63" s="80"/>
      <c r="M63" s="134">
        <f>M61-M62</f>
        <v>825750</v>
      </c>
      <c r="N63" s="135">
        <f>M63/$K$4</f>
        <v>825750</v>
      </c>
      <c r="Q63" s="79">
        <f>Q61-Q62</f>
        <v>4266375</v>
      </c>
      <c r="R63" s="135">
        <f t="shared" ref="R63:R64" si="6">Q63/$K$4</f>
        <v>4266375</v>
      </c>
      <c r="T63" s="134">
        <f>T61-T62</f>
        <v>4211325</v>
      </c>
      <c r="U63" s="135">
        <f t="shared" si="5"/>
        <v>4211325</v>
      </c>
    </row>
    <row r="64" spans="1:21" ht="14.1" customHeight="1" x14ac:dyDescent="0.2">
      <c r="A64" s="255" t="s">
        <v>330</v>
      </c>
      <c r="B64" s="258"/>
      <c r="C64" s="264"/>
      <c r="D64" s="265"/>
      <c r="E64" s="266"/>
      <c r="F64" s="266"/>
      <c r="G64" s="266"/>
      <c r="H64" s="267"/>
      <c r="I64" s="63"/>
      <c r="J64" s="141" t="s">
        <v>160</v>
      </c>
      <c r="K64" s="141"/>
      <c r="L64" s="141"/>
      <c r="M64" s="142">
        <f>M36</f>
        <v>697832.2488542645</v>
      </c>
      <c r="N64" s="143">
        <f>M64/$K$4</f>
        <v>697832.2488542645</v>
      </c>
      <c r="Q64" s="143">
        <f>M64</f>
        <v>697832.2488542645</v>
      </c>
      <c r="R64" s="143">
        <f t="shared" si="6"/>
        <v>697832.2488542645</v>
      </c>
      <c r="T64" s="142">
        <f>M64</f>
        <v>697832.2488542645</v>
      </c>
      <c r="U64" s="143">
        <f t="shared" si="5"/>
        <v>697832.2488542645</v>
      </c>
    </row>
    <row r="65" spans="1:22" ht="14.1" customHeight="1" thickBot="1" x14ac:dyDescent="0.25">
      <c r="A65" s="429" t="s">
        <v>335</v>
      </c>
      <c r="B65" s="430"/>
      <c r="C65" s="66">
        <f>K3*4.5</f>
        <v>7200</v>
      </c>
      <c r="D65" s="67">
        <f t="shared" si="0"/>
        <v>4.5</v>
      </c>
      <c r="E65" s="68">
        <f t="shared" ref="E65:E80" si="7">C65/$K$4</f>
        <v>7200</v>
      </c>
      <c r="F65" s="279"/>
      <c r="G65" s="68"/>
      <c r="H65" s="67"/>
      <c r="I65" s="63"/>
      <c r="J65" s="144" t="s">
        <v>163</v>
      </c>
      <c r="K65" s="106"/>
      <c r="L65" s="145"/>
      <c r="M65" s="146">
        <f>M63-M64</f>
        <v>127917.7511457355</v>
      </c>
      <c r="N65" s="147">
        <f>M65/$K$4</f>
        <v>127917.7511457355</v>
      </c>
      <c r="O65" s="148">
        <f>M65/M61</f>
        <v>0.14213083460637277</v>
      </c>
      <c r="Q65" s="248">
        <f>Q63-Q64</f>
        <v>3568542.7511457354</v>
      </c>
      <c r="R65" s="147">
        <f>Q65/$K$4</f>
        <v>3568542.7511457354</v>
      </c>
      <c r="S65" s="148">
        <f>Q65/Q61</f>
        <v>0.76742854863349153</v>
      </c>
      <c r="T65" s="146">
        <f>T63-T64</f>
        <v>3513492.7511457354</v>
      </c>
      <c r="U65" s="147">
        <f t="shared" si="5"/>
        <v>3513492.7511457354</v>
      </c>
      <c r="V65" s="148">
        <f>T65/T61</f>
        <v>0.76546683031497498</v>
      </c>
    </row>
    <row r="66" spans="1:22" ht="14.1" customHeight="1" thickTop="1" x14ac:dyDescent="0.2">
      <c r="A66" s="429" t="s">
        <v>344</v>
      </c>
      <c r="B66" s="430"/>
      <c r="C66" s="66">
        <f>K3*0.25</f>
        <v>400</v>
      </c>
      <c r="D66" s="250">
        <f t="shared" si="0"/>
        <v>0.25</v>
      </c>
      <c r="E66" s="203">
        <f t="shared" si="7"/>
        <v>400</v>
      </c>
      <c r="F66" s="280"/>
      <c r="G66" s="203"/>
      <c r="H66" s="250"/>
      <c r="I66" s="63"/>
      <c r="Q66" s="79"/>
      <c r="R66" s="49"/>
    </row>
    <row r="67" spans="1:22" ht="14.1" customHeight="1" thickBot="1" x14ac:dyDescent="0.25">
      <c r="A67" s="429" t="s">
        <v>332</v>
      </c>
      <c r="B67" s="430"/>
      <c r="C67" s="66">
        <f>K4*5000</f>
        <v>5000</v>
      </c>
      <c r="D67" s="250">
        <f t="shared" si="0"/>
        <v>3.125</v>
      </c>
      <c r="E67" s="203">
        <f t="shared" si="7"/>
        <v>5000</v>
      </c>
      <c r="F67" s="280"/>
      <c r="G67" s="203"/>
      <c r="H67" s="250"/>
      <c r="I67" s="63"/>
      <c r="Q67" s="79"/>
      <c r="R67" s="49"/>
    </row>
    <row r="68" spans="1:22" ht="14.1" customHeight="1" thickBot="1" x14ac:dyDescent="0.25">
      <c r="A68" s="429" t="s">
        <v>333</v>
      </c>
      <c r="B68" s="430"/>
      <c r="C68" s="66">
        <f>K4*8000</f>
        <v>8000</v>
      </c>
      <c r="D68" s="250">
        <f t="shared" si="0"/>
        <v>5</v>
      </c>
      <c r="E68" s="203">
        <f t="shared" si="7"/>
        <v>8000</v>
      </c>
      <c r="F68" s="280"/>
      <c r="G68" s="203"/>
      <c r="H68" s="250"/>
      <c r="I68" s="63"/>
      <c r="J68" s="435" t="s">
        <v>165</v>
      </c>
      <c r="K68" s="435"/>
      <c r="L68" s="435"/>
      <c r="M68" s="435"/>
      <c r="N68" s="435"/>
      <c r="O68" s="435"/>
    </row>
    <row r="69" spans="1:22" ht="14.1" customHeight="1" x14ac:dyDescent="0.2">
      <c r="A69" s="429" t="s">
        <v>334</v>
      </c>
      <c r="B69" s="430"/>
      <c r="C69" s="66">
        <f>K4*8000</f>
        <v>8000</v>
      </c>
      <c r="D69" s="250">
        <f t="shared" si="0"/>
        <v>5</v>
      </c>
      <c r="E69" s="203">
        <f t="shared" si="7"/>
        <v>8000</v>
      </c>
      <c r="F69" s="280"/>
      <c r="G69" s="203"/>
      <c r="H69" s="250"/>
      <c r="I69" s="63"/>
      <c r="O69" s="63"/>
    </row>
    <row r="70" spans="1:22" ht="14.1" customHeight="1" x14ac:dyDescent="0.2">
      <c r="A70" s="429" t="s">
        <v>339</v>
      </c>
      <c r="B70" s="430"/>
      <c r="C70" s="66"/>
      <c r="D70" s="250">
        <f t="shared" si="0"/>
        <v>0</v>
      </c>
      <c r="E70" s="203">
        <f t="shared" si="7"/>
        <v>0</v>
      </c>
      <c r="F70" s="280"/>
      <c r="G70" s="203"/>
      <c r="H70" s="250"/>
      <c r="I70" s="63"/>
      <c r="J70" s="88"/>
      <c r="K70" s="88"/>
      <c r="L70" s="150" t="s">
        <v>167</v>
      </c>
      <c r="M70" s="150" t="s">
        <v>168</v>
      </c>
      <c r="N70" s="88"/>
      <c r="O70" s="49"/>
    </row>
    <row r="71" spans="1:22" ht="14.1" customHeight="1" x14ac:dyDescent="0.2">
      <c r="A71" s="429" t="s">
        <v>337</v>
      </c>
      <c r="B71" s="430"/>
      <c r="C71" s="66">
        <f>K4*6500</f>
        <v>6500</v>
      </c>
      <c r="D71" s="250">
        <f t="shared" si="0"/>
        <v>4.0625</v>
      </c>
      <c r="E71" s="203">
        <f t="shared" si="7"/>
        <v>6500</v>
      </c>
      <c r="F71" s="280"/>
      <c r="G71" s="203"/>
      <c r="H71" s="250"/>
      <c r="I71" s="63"/>
      <c r="J71" s="49" t="s">
        <v>170</v>
      </c>
      <c r="K71" s="151">
        <f>M37-M39</f>
        <v>463500</v>
      </c>
      <c r="L71" s="152">
        <f>12+K26</f>
        <v>21</v>
      </c>
      <c r="M71" s="104">
        <v>0.11</v>
      </c>
      <c r="N71" s="90">
        <f>((K71*M71)/12)*L71</f>
        <v>89223.75</v>
      </c>
      <c r="O71" s="49"/>
    </row>
    <row r="72" spans="1:22" ht="14.1" customHeight="1" x14ac:dyDescent="0.2">
      <c r="A72" s="429" t="s">
        <v>338</v>
      </c>
      <c r="B72" s="430"/>
      <c r="C72" s="66">
        <f>K4*3000</f>
        <v>3000</v>
      </c>
      <c r="D72" s="250">
        <f t="shared" si="0"/>
        <v>1.875</v>
      </c>
      <c r="E72" s="203">
        <f t="shared" si="7"/>
        <v>3000</v>
      </c>
      <c r="F72" s="280"/>
      <c r="G72" s="203"/>
      <c r="H72" s="250"/>
      <c r="I72" s="63"/>
      <c r="J72" s="88" t="s">
        <v>172</v>
      </c>
      <c r="K72" s="88"/>
      <c r="L72" s="88"/>
      <c r="M72" s="88"/>
      <c r="N72" s="153">
        <f>M65</f>
        <v>127917.7511457355</v>
      </c>
      <c r="O72" s="49"/>
    </row>
    <row r="73" spans="1:22" ht="14.1" customHeight="1" x14ac:dyDescent="0.2">
      <c r="A73" s="429" t="s">
        <v>340</v>
      </c>
      <c r="B73" s="430"/>
      <c r="C73" s="66">
        <f>K3*3.5</f>
        <v>5600</v>
      </c>
      <c r="D73" s="250">
        <f t="shared" si="0"/>
        <v>3.5</v>
      </c>
      <c r="E73" s="203">
        <f t="shared" si="7"/>
        <v>5600</v>
      </c>
      <c r="F73" s="280"/>
      <c r="G73" s="203"/>
      <c r="H73" s="250"/>
      <c r="I73" s="63"/>
      <c r="J73" s="49" t="s">
        <v>174</v>
      </c>
      <c r="N73" s="90">
        <f>N72-N71</f>
        <v>38694.001145735499</v>
      </c>
      <c r="O73" s="49"/>
    </row>
    <row r="74" spans="1:22" ht="14.1" customHeight="1" x14ac:dyDescent="0.2">
      <c r="A74" s="429" t="s">
        <v>342</v>
      </c>
      <c r="B74" s="430"/>
      <c r="C74" s="66">
        <f>K3*1</f>
        <v>1600</v>
      </c>
      <c r="D74" s="250">
        <f t="shared" si="0"/>
        <v>1</v>
      </c>
      <c r="E74" s="203">
        <f t="shared" si="7"/>
        <v>1600</v>
      </c>
      <c r="F74" s="280"/>
      <c r="G74" s="203"/>
      <c r="H74" s="250"/>
      <c r="I74" s="63"/>
      <c r="N74" s="90"/>
      <c r="O74" s="49"/>
    </row>
    <row r="75" spans="1:22" ht="14.1" customHeight="1" x14ac:dyDescent="0.2">
      <c r="A75" s="429" t="s">
        <v>341</v>
      </c>
      <c r="B75" s="430"/>
      <c r="C75" s="66">
        <f>K3*1.25</f>
        <v>2000</v>
      </c>
      <c r="D75" s="250">
        <f t="shared" si="0"/>
        <v>1.25</v>
      </c>
      <c r="E75" s="203">
        <f t="shared" si="7"/>
        <v>2000</v>
      </c>
      <c r="F75" s="280"/>
      <c r="G75" s="203"/>
      <c r="H75" s="250"/>
      <c r="I75" s="63"/>
      <c r="J75" s="154" t="s">
        <v>176</v>
      </c>
      <c r="L75" s="155" t="s">
        <v>167</v>
      </c>
      <c r="M75" s="155" t="s">
        <v>168</v>
      </c>
      <c r="O75" s="49"/>
    </row>
    <row r="76" spans="1:22" ht="14.1" customHeight="1" x14ac:dyDescent="0.2">
      <c r="A76" s="429" t="s">
        <v>343</v>
      </c>
      <c r="B76" s="430"/>
      <c r="C76" s="66"/>
      <c r="D76" s="250">
        <f t="shared" si="0"/>
        <v>0</v>
      </c>
      <c r="E76" s="203">
        <f t="shared" si="7"/>
        <v>0</v>
      </c>
      <c r="F76" s="280"/>
      <c r="G76" s="203"/>
      <c r="H76" s="250"/>
      <c r="I76" s="63"/>
      <c r="J76" s="98" t="s">
        <v>177</v>
      </c>
      <c r="K76" s="285">
        <f>K71</f>
        <v>463500</v>
      </c>
      <c r="L76" s="238">
        <f>L71</f>
        <v>21</v>
      </c>
      <c r="M76" s="156">
        <f>M71</f>
        <v>0.11</v>
      </c>
      <c r="N76" s="99">
        <f>((K76*M76)/12)*L76</f>
        <v>89223.75</v>
      </c>
      <c r="O76" s="49"/>
    </row>
    <row r="77" spans="1:22" ht="14.1" customHeight="1" thickBot="1" x14ac:dyDescent="0.25">
      <c r="A77" s="429" t="s">
        <v>345</v>
      </c>
      <c r="B77" s="430"/>
      <c r="C77" s="66">
        <f>K4*3000</f>
        <v>3000</v>
      </c>
      <c r="D77" s="250">
        <f t="shared" si="0"/>
        <v>1.875</v>
      </c>
      <c r="E77" s="203">
        <f t="shared" si="7"/>
        <v>3000</v>
      </c>
      <c r="F77" s="280"/>
      <c r="G77" s="203"/>
      <c r="H77" s="250"/>
      <c r="I77" s="63"/>
      <c r="J77" s="83" t="s">
        <v>179</v>
      </c>
      <c r="K77" s="83"/>
      <c r="L77" s="95">
        <v>0.4</v>
      </c>
      <c r="M77" s="83"/>
      <c r="N77" s="84">
        <f>N73*L77</f>
        <v>15477.600458294201</v>
      </c>
      <c r="O77" s="49"/>
    </row>
    <row r="78" spans="1:22" ht="14.1" customHeight="1" thickTop="1" x14ac:dyDescent="0.2">
      <c r="A78" s="431" t="s">
        <v>352</v>
      </c>
      <c r="B78" s="431"/>
      <c r="C78" s="66">
        <f>K4*2500</f>
        <v>2500</v>
      </c>
      <c r="D78" s="250">
        <f t="shared" si="0"/>
        <v>1.5625</v>
      </c>
      <c r="E78" s="203">
        <f t="shared" si="7"/>
        <v>2500</v>
      </c>
      <c r="F78" s="280"/>
      <c r="G78" s="203"/>
      <c r="H78" s="250"/>
      <c r="I78" s="63"/>
      <c r="J78" s="49" t="s">
        <v>181</v>
      </c>
      <c r="N78" s="90">
        <f>SUM(N76:N77)</f>
        <v>104701.3504582942</v>
      </c>
      <c r="O78" s="49"/>
    </row>
    <row r="79" spans="1:22" ht="14.1" customHeight="1" x14ac:dyDescent="0.2">
      <c r="A79" s="431" t="s">
        <v>140</v>
      </c>
      <c r="B79" s="431"/>
      <c r="C79" s="66">
        <f>K4*6000</f>
        <v>6000</v>
      </c>
      <c r="D79" s="250">
        <f t="shared" ref="D79:D80" si="8">C79/$K$3</f>
        <v>3.75</v>
      </c>
      <c r="E79" s="203">
        <f t="shared" si="7"/>
        <v>6000</v>
      </c>
      <c r="F79" s="280"/>
      <c r="G79" s="203"/>
      <c r="H79" s="250"/>
      <c r="I79" s="63"/>
      <c r="J79" s="49" t="s">
        <v>183</v>
      </c>
      <c r="N79" s="157">
        <f>IFERROR(N78/K76,0)</f>
        <v>0.22589288124766818</v>
      </c>
      <c r="O79" s="49"/>
    </row>
    <row r="80" spans="1:22" ht="14.1" customHeight="1" x14ac:dyDescent="0.2">
      <c r="A80" s="448" t="s">
        <v>110</v>
      </c>
      <c r="B80" s="448"/>
      <c r="C80" s="256">
        <f>K4*1000</f>
        <v>1000</v>
      </c>
      <c r="D80" s="250">
        <f t="shared" si="8"/>
        <v>0.625</v>
      </c>
      <c r="E80" s="203">
        <f t="shared" si="7"/>
        <v>1000</v>
      </c>
      <c r="F80" s="280"/>
      <c r="G80" s="203"/>
      <c r="H80" s="250"/>
      <c r="I80" s="63"/>
      <c r="O80" s="49"/>
    </row>
    <row r="81" spans="1:16" ht="14.1" customHeight="1" x14ac:dyDescent="0.2">
      <c r="A81" s="449" t="s">
        <v>348</v>
      </c>
      <c r="B81" s="450"/>
      <c r="C81" s="264"/>
      <c r="D81" s="265"/>
      <c r="E81" s="266"/>
      <c r="F81" s="266"/>
      <c r="G81" s="266"/>
      <c r="H81" s="267"/>
      <c r="I81" s="63"/>
      <c r="J81" s="154" t="s">
        <v>185</v>
      </c>
      <c r="L81" s="158" t="s">
        <v>167</v>
      </c>
      <c r="M81" s="158" t="s">
        <v>168</v>
      </c>
      <c r="O81" s="49"/>
    </row>
    <row r="82" spans="1:16" ht="14.1" customHeight="1" x14ac:dyDescent="0.2">
      <c r="A82" s="445" t="s">
        <v>368</v>
      </c>
      <c r="B82" s="446"/>
      <c r="C82" s="66">
        <f>K4*2500</f>
        <v>2500</v>
      </c>
      <c r="D82" s="67">
        <f t="shared" ref="D82:D88" si="9">C82/$K$3</f>
        <v>1.5625</v>
      </c>
      <c r="E82" s="68">
        <f t="shared" ref="E82:E90" si="10">C82/$K$4</f>
        <v>2500</v>
      </c>
      <c r="F82" s="279"/>
      <c r="G82" s="68"/>
      <c r="H82" s="67"/>
      <c r="I82" s="63"/>
      <c r="J82" s="98" t="s">
        <v>187</v>
      </c>
      <c r="K82" s="285">
        <f>M39</f>
        <v>51500</v>
      </c>
      <c r="L82" s="238">
        <f>L76</f>
        <v>21</v>
      </c>
      <c r="M82" s="156">
        <v>0</v>
      </c>
      <c r="N82" s="99">
        <f>((K82*M82)/12)*L82</f>
        <v>0</v>
      </c>
      <c r="O82" s="49"/>
    </row>
    <row r="83" spans="1:16" ht="14.1" customHeight="1" x14ac:dyDescent="0.2">
      <c r="A83" s="440" t="s">
        <v>363</v>
      </c>
      <c r="B83" s="441"/>
      <c r="C83" s="66">
        <f>K4*2000</f>
        <v>2000</v>
      </c>
      <c r="D83" s="67">
        <f t="shared" si="9"/>
        <v>1.25</v>
      </c>
      <c r="E83" s="68">
        <f t="shared" si="10"/>
        <v>2000</v>
      </c>
      <c r="F83" s="279"/>
      <c r="G83" s="68"/>
      <c r="H83" s="69"/>
      <c r="I83" s="63"/>
      <c r="J83" s="59" t="s">
        <v>188</v>
      </c>
      <c r="L83" s="239"/>
      <c r="N83" s="90">
        <f>C12</f>
        <v>15000</v>
      </c>
      <c r="O83" s="49"/>
    </row>
    <row r="84" spans="1:16" ht="14.1" customHeight="1" thickBot="1" x14ac:dyDescent="0.25">
      <c r="A84" s="440" t="s">
        <v>362</v>
      </c>
      <c r="B84" s="441"/>
      <c r="C84" s="66"/>
      <c r="D84" s="67">
        <f t="shared" si="9"/>
        <v>0</v>
      </c>
      <c r="E84" s="68">
        <f t="shared" si="10"/>
        <v>0</v>
      </c>
      <c r="F84" s="279"/>
      <c r="G84" s="68"/>
      <c r="H84" s="69"/>
      <c r="I84" s="63"/>
      <c r="J84" s="83" t="s">
        <v>189</v>
      </c>
      <c r="K84" s="83"/>
      <c r="L84" s="240">
        <f>100%-L77</f>
        <v>0.6</v>
      </c>
      <c r="M84" s="83"/>
      <c r="N84" s="84">
        <f>L84*N73</f>
        <v>23216.400687441299</v>
      </c>
      <c r="O84" s="49"/>
    </row>
    <row r="85" spans="1:16" ht="14.1" customHeight="1" thickTop="1" x14ac:dyDescent="0.2">
      <c r="A85" s="440" t="s">
        <v>350</v>
      </c>
      <c r="B85" s="441"/>
      <c r="C85" s="66">
        <v>1500</v>
      </c>
      <c r="D85" s="67">
        <f t="shared" si="9"/>
        <v>0.9375</v>
      </c>
      <c r="E85" s="68">
        <f t="shared" si="10"/>
        <v>1500</v>
      </c>
      <c r="F85" s="279"/>
      <c r="G85" s="68"/>
      <c r="H85" s="69"/>
      <c r="I85" s="51"/>
      <c r="J85" s="49" t="s">
        <v>191</v>
      </c>
      <c r="N85" s="90">
        <f>SUM(N82:N84)</f>
        <v>38216.400687441303</v>
      </c>
      <c r="O85" s="49"/>
    </row>
    <row r="86" spans="1:16" ht="14.1" customHeight="1" x14ac:dyDescent="0.2">
      <c r="A86" s="440" t="s">
        <v>351</v>
      </c>
      <c r="B86" s="441"/>
      <c r="C86" s="66">
        <v>2500</v>
      </c>
      <c r="D86" s="67">
        <f t="shared" si="9"/>
        <v>1.5625</v>
      </c>
      <c r="E86" s="68">
        <f t="shared" si="10"/>
        <v>2500</v>
      </c>
      <c r="F86" s="279"/>
      <c r="G86" s="68"/>
      <c r="H86" s="69"/>
      <c r="I86" s="51"/>
      <c r="O86" s="49"/>
    </row>
    <row r="87" spans="1:16" ht="14.1" customHeight="1" x14ac:dyDescent="0.2">
      <c r="A87" s="447" t="s">
        <v>147</v>
      </c>
      <c r="B87" s="447"/>
      <c r="C87" s="66"/>
      <c r="D87" s="67">
        <f t="shared" si="9"/>
        <v>0</v>
      </c>
      <c r="E87" s="68">
        <f t="shared" si="10"/>
        <v>0</v>
      </c>
      <c r="F87" s="279"/>
      <c r="G87" s="68"/>
      <c r="H87" s="69"/>
      <c r="I87" s="51"/>
      <c r="J87" s="165" t="s">
        <v>193</v>
      </c>
      <c r="K87" s="76" t="s">
        <v>194</v>
      </c>
      <c r="L87" s="76" t="s">
        <v>195</v>
      </c>
      <c r="M87" s="76" t="s">
        <v>266</v>
      </c>
      <c r="N87" s="76" t="s">
        <v>196</v>
      </c>
      <c r="O87" s="76" t="s">
        <v>197</v>
      </c>
    </row>
    <row r="88" spans="1:16" ht="14.1" customHeight="1" x14ac:dyDescent="0.2">
      <c r="A88" s="447" t="s">
        <v>147</v>
      </c>
      <c r="B88" s="447"/>
      <c r="C88" s="66"/>
      <c r="D88" s="67">
        <f t="shared" si="9"/>
        <v>0</v>
      </c>
      <c r="E88" s="68">
        <f t="shared" si="10"/>
        <v>0</v>
      </c>
      <c r="F88" s="279"/>
      <c r="G88" s="68"/>
      <c r="H88" s="69"/>
      <c r="I88" s="51"/>
      <c r="J88" s="168" t="s">
        <v>198</v>
      </c>
      <c r="K88" s="93">
        <f>K76</f>
        <v>463500</v>
      </c>
      <c r="L88" s="235">
        <f t="shared" ref="L88:L96" si="11">IFERROR(K88/$K$97,0)</f>
        <v>0.9</v>
      </c>
      <c r="M88" s="235">
        <f>L77</f>
        <v>0.4</v>
      </c>
      <c r="N88" s="79">
        <f>N78</f>
        <v>104701.3504582942</v>
      </c>
      <c r="O88" s="213">
        <f t="shared" ref="O88:O96" si="12">IFERROR(N88/K88,0)</f>
        <v>0.22589288124766818</v>
      </c>
    </row>
    <row r="89" spans="1:16" ht="14.1" customHeight="1" x14ac:dyDescent="0.2">
      <c r="A89" s="116" t="s">
        <v>151</v>
      </c>
      <c r="B89" s="283">
        <v>0.03</v>
      </c>
      <c r="C89" s="66">
        <f>SUM(C12:C88)*B89</f>
        <v>9604.5</v>
      </c>
      <c r="D89" s="67">
        <f>C89/$K$3</f>
        <v>6.0028125000000001</v>
      </c>
      <c r="E89" s="68">
        <f t="shared" si="10"/>
        <v>9604.5</v>
      </c>
      <c r="F89" s="279"/>
      <c r="G89" s="68"/>
      <c r="H89" s="69"/>
      <c r="I89" s="51"/>
      <c r="J89" s="168" t="s">
        <v>199</v>
      </c>
      <c r="K89" s="93">
        <f>K82</f>
        <v>51500</v>
      </c>
      <c r="L89" s="235">
        <f t="shared" si="11"/>
        <v>0.1</v>
      </c>
      <c r="M89" s="235">
        <f>L84</f>
        <v>0.6</v>
      </c>
      <c r="N89" s="79">
        <f>N84</f>
        <v>23216.400687441299</v>
      </c>
      <c r="O89" s="213">
        <f t="shared" si="12"/>
        <v>0.45080389684352035</v>
      </c>
    </row>
    <row r="90" spans="1:16" ht="14.1" customHeight="1" x14ac:dyDescent="0.2">
      <c r="A90" s="117" t="s">
        <v>152</v>
      </c>
      <c r="B90" s="118" t="s">
        <v>153</v>
      </c>
      <c r="C90" s="119">
        <f>SUM(C12:C89)*B90</f>
        <v>34624.222499999996</v>
      </c>
      <c r="D90" s="120">
        <f>C90/$K$3</f>
        <v>21.640139062499998</v>
      </c>
      <c r="E90" s="121">
        <f t="shared" si="10"/>
        <v>34624.222499999996</v>
      </c>
      <c r="F90" s="275"/>
      <c r="G90" s="68"/>
      <c r="H90" s="120">
        <v>0</v>
      </c>
      <c r="I90" s="63"/>
      <c r="J90" s="168" t="s">
        <v>201</v>
      </c>
      <c r="K90" s="93">
        <v>0</v>
      </c>
      <c r="L90" s="235">
        <f t="shared" si="11"/>
        <v>0</v>
      </c>
      <c r="M90" s="235">
        <f t="shared" ref="M90:M96" si="13">K90/SUM($K$88:$K$96)*$L$77</f>
        <v>0</v>
      </c>
      <c r="N90" s="79">
        <f t="shared" ref="N90:N96" si="14">L90*$N$78</f>
        <v>0</v>
      </c>
      <c r="O90" s="213">
        <f t="shared" si="12"/>
        <v>0</v>
      </c>
      <c r="P90" s="63"/>
    </row>
    <row r="91" spans="1:16" ht="14.1" customHeight="1" x14ac:dyDescent="0.2">
      <c r="A91" s="451" t="s">
        <v>154</v>
      </c>
      <c r="B91" s="452"/>
      <c r="C91" s="123">
        <f>SUM(C12:C90)</f>
        <v>364378.72249999997</v>
      </c>
      <c r="D91" s="124">
        <f>SUM(D12:D90)</f>
        <v>227.7367015625</v>
      </c>
      <c r="E91" s="125">
        <f>SUM(E12:E90)</f>
        <v>364378.72249999997</v>
      </c>
      <c r="F91" s="275"/>
      <c r="G91" s="68"/>
      <c r="H91" s="124">
        <f>SUM(H12:H86)</f>
        <v>0</v>
      </c>
      <c r="I91" s="63"/>
      <c r="J91" s="168" t="s">
        <v>202</v>
      </c>
      <c r="K91" s="93">
        <v>0</v>
      </c>
      <c r="L91" s="235">
        <f t="shared" si="11"/>
        <v>0</v>
      </c>
      <c r="M91" s="235">
        <f t="shared" si="13"/>
        <v>0</v>
      </c>
      <c r="N91" s="79">
        <f t="shared" si="14"/>
        <v>0</v>
      </c>
      <c r="O91" s="213">
        <f t="shared" si="12"/>
        <v>0</v>
      </c>
      <c r="P91" s="63"/>
    </row>
    <row r="92" spans="1:16" ht="14.1" customHeight="1" x14ac:dyDescent="0.2">
      <c r="A92" s="129" t="s">
        <v>156</v>
      </c>
      <c r="B92" s="130"/>
      <c r="C92" s="131"/>
      <c r="D92" s="132"/>
      <c r="E92" s="131"/>
      <c r="F92" s="131"/>
      <c r="G92" s="131"/>
      <c r="H92" s="132"/>
      <c r="I92" s="63"/>
      <c r="J92" s="168" t="s">
        <v>203</v>
      </c>
      <c r="K92" s="93">
        <v>0</v>
      </c>
      <c r="L92" s="235">
        <f t="shared" si="11"/>
        <v>0</v>
      </c>
      <c r="M92" s="235">
        <f t="shared" si="13"/>
        <v>0</v>
      </c>
      <c r="N92" s="79">
        <f t="shared" si="14"/>
        <v>0</v>
      </c>
      <c r="O92" s="213">
        <f t="shared" si="12"/>
        <v>0</v>
      </c>
      <c r="P92" s="63"/>
    </row>
    <row r="93" spans="1:16" ht="14.1" customHeight="1" x14ac:dyDescent="0.2">
      <c r="A93" s="136" t="s">
        <v>289</v>
      </c>
      <c r="B93" s="137">
        <v>0</v>
      </c>
      <c r="C93" s="138">
        <f>(K3*92%)*B93</f>
        <v>0</v>
      </c>
      <c r="D93" s="120">
        <f t="shared" ref="D93:D116" si="15">C93/$K$3</f>
        <v>0</v>
      </c>
      <c r="E93" s="121">
        <f t="shared" ref="E93:E116" si="16">C93/$K$4</f>
        <v>0</v>
      </c>
      <c r="F93" s="275"/>
      <c r="G93" s="121"/>
      <c r="H93" s="139"/>
      <c r="I93" s="63"/>
      <c r="J93" s="168" t="s">
        <v>205</v>
      </c>
      <c r="K93" s="93">
        <v>0</v>
      </c>
      <c r="L93" s="235">
        <f t="shared" si="11"/>
        <v>0</v>
      </c>
      <c r="M93" s="235">
        <f t="shared" si="13"/>
        <v>0</v>
      </c>
      <c r="N93" s="79">
        <f t="shared" si="14"/>
        <v>0</v>
      </c>
      <c r="O93" s="213">
        <f t="shared" si="12"/>
        <v>0</v>
      </c>
    </row>
    <row r="94" spans="1:16" ht="14.1" customHeight="1" x14ac:dyDescent="0.2">
      <c r="A94" s="136" t="s">
        <v>159</v>
      </c>
      <c r="B94" s="284">
        <v>7.4999999999999997E-3</v>
      </c>
      <c r="C94" s="138">
        <f>SUM(C12:C89)*B94</f>
        <v>2473.1587500000001</v>
      </c>
      <c r="D94" s="120">
        <f t="shared" si="15"/>
        <v>1.54572421875</v>
      </c>
      <c r="E94" s="121">
        <f t="shared" si="16"/>
        <v>2473.1587500000001</v>
      </c>
      <c r="F94" s="275"/>
      <c r="G94" s="121"/>
      <c r="H94" s="139"/>
      <c r="I94" s="63"/>
      <c r="J94" s="168" t="s">
        <v>206</v>
      </c>
      <c r="K94" s="93">
        <v>0</v>
      </c>
      <c r="L94" s="235">
        <f t="shared" si="11"/>
        <v>0</v>
      </c>
      <c r="M94" s="235">
        <f t="shared" si="13"/>
        <v>0</v>
      </c>
      <c r="N94" s="79">
        <f t="shared" si="14"/>
        <v>0</v>
      </c>
      <c r="O94" s="213">
        <f t="shared" si="12"/>
        <v>0</v>
      </c>
    </row>
    <row r="95" spans="1:16" ht="14.1" customHeight="1" x14ac:dyDescent="0.2">
      <c r="A95" s="298" t="s">
        <v>161</v>
      </c>
      <c r="B95" s="140" t="s">
        <v>162</v>
      </c>
      <c r="C95" s="138">
        <f>SUM(C12:C89)*B95</f>
        <v>2262.1158700000001</v>
      </c>
      <c r="D95" s="120">
        <f t="shared" si="15"/>
        <v>1.4138224187500001</v>
      </c>
      <c r="E95" s="121">
        <f t="shared" si="16"/>
        <v>2262.1158700000001</v>
      </c>
      <c r="F95" s="275"/>
      <c r="G95" s="121"/>
      <c r="H95" s="139"/>
      <c r="I95" s="63"/>
      <c r="J95" s="168" t="s">
        <v>207</v>
      </c>
      <c r="K95" s="93">
        <v>0</v>
      </c>
      <c r="L95" s="235">
        <f t="shared" si="11"/>
        <v>0</v>
      </c>
      <c r="M95" s="235">
        <f t="shared" si="13"/>
        <v>0</v>
      </c>
      <c r="N95" s="79">
        <f t="shared" si="14"/>
        <v>0</v>
      </c>
      <c r="O95" s="213">
        <f t="shared" si="12"/>
        <v>0</v>
      </c>
    </row>
    <row r="96" spans="1:16" ht="14.1" customHeight="1" thickBot="1" x14ac:dyDescent="0.25">
      <c r="A96" s="440" t="s">
        <v>164</v>
      </c>
      <c r="B96" s="441"/>
      <c r="C96" s="66">
        <v>2500</v>
      </c>
      <c r="D96" s="120">
        <f t="shared" si="15"/>
        <v>1.5625</v>
      </c>
      <c r="E96" s="149">
        <f t="shared" si="16"/>
        <v>2500</v>
      </c>
      <c r="F96" s="276"/>
      <c r="G96" s="149"/>
      <c r="H96" s="139"/>
      <c r="I96" s="63"/>
      <c r="J96" s="173"/>
      <c r="K96" s="113">
        <v>0</v>
      </c>
      <c r="L96" s="236">
        <f t="shared" si="11"/>
        <v>0</v>
      </c>
      <c r="M96" s="237">
        <f t="shared" si="13"/>
        <v>0</v>
      </c>
      <c r="N96" s="85">
        <f t="shared" si="14"/>
        <v>0</v>
      </c>
      <c r="O96" s="214">
        <f t="shared" si="12"/>
        <v>0</v>
      </c>
    </row>
    <row r="97" spans="1:19" ht="14.1" customHeight="1" thickTop="1" x14ac:dyDescent="0.2">
      <c r="A97" s="440" t="s">
        <v>364</v>
      </c>
      <c r="B97" s="441"/>
      <c r="C97" s="66">
        <f>K4*4000</f>
        <v>4000</v>
      </c>
      <c r="D97" s="120">
        <f t="shared" si="15"/>
        <v>2.5</v>
      </c>
      <c r="E97" s="121">
        <f t="shared" si="16"/>
        <v>4000</v>
      </c>
      <c r="F97" s="275"/>
      <c r="G97" s="121"/>
      <c r="H97" s="139"/>
      <c r="I97" s="63"/>
      <c r="K97" s="79">
        <f>SUM(K88:K96)</f>
        <v>515000</v>
      </c>
      <c r="L97" s="212">
        <f>SUM(L88:L96)</f>
        <v>1</v>
      </c>
      <c r="M97" s="212">
        <f>SUM(M88:M96)</f>
        <v>1</v>
      </c>
      <c r="N97" s="79">
        <f>SUM(N88:N96)</f>
        <v>127917.7511457355</v>
      </c>
      <c r="O97" s="157"/>
    </row>
    <row r="98" spans="1:19" ht="14.1" customHeight="1" x14ac:dyDescent="0.2">
      <c r="A98" s="440" t="s">
        <v>355</v>
      </c>
      <c r="B98" s="441"/>
      <c r="C98" s="66">
        <v>12000</v>
      </c>
      <c r="D98" s="120">
        <f t="shared" si="15"/>
        <v>7.5</v>
      </c>
      <c r="E98" s="121">
        <f t="shared" si="16"/>
        <v>12000</v>
      </c>
      <c r="F98" s="275"/>
      <c r="G98" s="121"/>
      <c r="H98" s="139"/>
      <c r="I98" s="63"/>
    </row>
    <row r="99" spans="1:19" ht="14.1" customHeight="1" x14ac:dyDescent="0.2">
      <c r="A99" s="440" t="s">
        <v>166</v>
      </c>
      <c r="B99" s="441"/>
      <c r="C99" s="66">
        <f>7500*K4</f>
        <v>7500</v>
      </c>
      <c r="D99" s="120">
        <f t="shared" si="15"/>
        <v>4.6875</v>
      </c>
      <c r="E99" s="121">
        <f t="shared" si="16"/>
        <v>7500</v>
      </c>
      <c r="F99" s="275"/>
      <c r="G99" s="121"/>
      <c r="H99" s="139"/>
      <c r="I99" s="63"/>
      <c r="O99" s="49"/>
    </row>
    <row r="100" spans="1:19" ht="14.1" customHeight="1" x14ac:dyDescent="0.2">
      <c r="A100" s="440" t="s">
        <v>169</v>
      </c>
      <c r="B100" s="441"/>
      <c r="C100" s="66">
        <f>3000*K4</f>
        <v>3000</v>
      </c>
      <c r="D100" s="120">
        <f t="shared" si="15"/>
        <v>1.875</v>
      </c>
      <c r="E100" s="121">
        <f t="shared" si="16"/>
        <v>3000</v>
      </c>
      <c r="F100" s="275"/>
      <c r="G100" s="121"/>
      <c r="H100" s="139"/>
      <c r="O100" s="49"/>
    </row>
    <row r="101" spans="1:19" ht="14.1" customHeight="1" x14ac:dyDescent="0.2">
      <c r="A101" s="440" t="s">
        <v>171</v>
      </c>
      <c r="B101" s="441"/>
      <c r="C101" s="66">
        <f>1800*K4</f>
        <v>1800</v>
      </c>
      <c r="D101" s="120">
        <f t="shared" si="15"/>
        <v>1.125</v>
      </c>
      <c r="E101" s="121">
        <f t="shared" si="16"/>
        <v>1800</v>
      </c>
      <c r="F101" s="275"/>
      <c r="G101" s="121"/>
      <c r="H101" s="139"/>
      <c r="O101" s="49"/>
      <c r="R101" s="175"/>
      <c r="S101" s="63"/>
    </row>
    <row r="102" spans="1:19" ht="14.1" customHeight="1" x14ac:dyDescent="0.2">
      <c r="A102" s="440" t="s">
        <v>353</v>
      </c>
      <c r="B102" s="441"/>
      <c r="C102" s="66">
        <v>4000</v>
      </c>
      <c r="D102" s="120">
        <f t="shared" si="15"/>
        <v>2.5</v>
      </c>
      <c r="E102" s="121">
        <f t="shared" si="16"/>
        <v>4000</v>
      </c>
      <c r="F102" s="275"/>
      <c r="G102" s="121"/>
      <c r="H102" s="244"/>
      <c r="O102" s="49"/>
      <c r="R102" s="175"/>
      <c r="S102" s="63"/>
    </row>
    <row r="103" spans="1:19" ht="14.1" customHeight="1" x14ac:dyDescent="0.2">
      <c r="A103" s="440" t="s">
        <v>354</v>
      </c>
      <c r="B103" s="441"/>
      <c r="C103" s="66">
        <v>4000</v>
      </c>
      <c r="D103" s="120">
        <f t="shared" si="15"/>
        <v>2.5</v>
      </c>
      <c r="E103" s="121">
        <f t="shared" si="16"/>
        <v>4000</v>
      </c>
      <c r="F103" s="275"/>
      <c r="G103" s="121"/>
      <c r="H103" s="139"/>
      <c r="O103" s="49"/>
      <c r="R103" s="175"/>
      <c r="S103" s="63"/>
    </row>
    <row r="104" spans="1:19" ht="14.1" customHeight="1" x14ac:dyDescent="0.2">
      <c r="A104" s="440" t="s">
        <v>173</v>
      </c>
      <c r="B104" s="441"/>
      <c r="C104" s="66">
        <v>1550</v>
      </c>
      <c r="D104" s="120">
        <f t="shared" si="15"/>
        <v>0.96875</v>
      </c>
      <c r="E104" s="121">
        <f t="shared" si="16"/>
        <v>1550</v>
      </c>
      <c r="F104" s="275"/>
      <c r="G104" s="121"/>
      <c r="H104" s="139"/>
      <c r="O104" s="49"/>
      <c r="P104" s="63"/>
      <c r="R104" s="175"/>
      <c r="S104" s="63"/>
    </row>
    <row r="105" spans="1:19" ht="14.1" customHeight="1" x14ac:dyDescent="0.2">
      <c r="A105" s="440" t="s">
        <v>175</v>
      </c>
      <c r="B105" s="441"/>
      <c r="C105" s="66">
        <f>K4*1200</f>
        <v>1200</v>
      </c>
      <c r="D105" s="120">
        <f t="shared" si="15"/>
        <v>0.75</v>
      </c>
      <c r="E105" s="121">
        <f t="shared" si="16"/>
        <v>1200</v>
      </c>
      <c r="F105" s="275"/>
      <c r="G105" s="121"/>
      <c r="H105" s="139"/>
      <c r="J105" s="63"/>
      <c r="K105" s="63"/>
      <c r="L105" s="63"/>
      <c r="M105" s="63"/>
      <c r="N105" s="63"/>
      <c r="O105" s="63"/>
      <c r="P105" s="63"/>
      <c r="Q105" s="63"/>
      <c r="R105" s="175"/>
      <c r="S105" s="63"/>
    </row>
    <row r="106" spans="1:19" ht="14.1" customHeight="1" x14ac:dyDescent="0.2">
      <c r="A106" s="440" t="s">
        <v>378</v>
      </c>
      <c r="B106" s="441"/>
      <c r="C106" s="66">
        <v>0</v>
      </c>
      <c r="D106" s="120">
        <f t="shared" si="15"/>
        <v>0</v>
      </c>
      <c r="E106" s="121">
        <f t="shared" si="16"/>
        <v>0</v>
      </c>
      <c r="F106" s="275"/>
      <c r="G106" s="121"/>
      <c r="H106" s="139"/>
      <c r="J106" s="63"/>
      <c r="K106" s="63"/>
      <c r="L106" s="63"/>
      <c r="M106" s="63"/>
      <c r="N106" s="63"/>
      <c r="O106" s="63"/>
      <c r="P106" s="63"/>
      <c r="Q106" s="63"/>
      <c r="R106" s="175"/>
      <c r="S106" s="63"/>
    </row>
    <row r="107" spans="1:19" ht="14.1" customHeight="1" x14ac:dyDescent="0.2">
      <c r="A107" s="440" t="s">
        <v>288</v>
      </c>
      <c r="B107" s="441"/>
      <c r="C107" s="66">
        <f>K4*1200</f>
        <v>1200</v>
      </c>
      <c r="D107" s="120">
        <f t="shared" si="15"/>
        <v>0.75</v>
      </c>
      <c r="E107" s="121">
        <f t="shared" si="16"/>
        <v>1200</v>
      </c>
      <c r="F107" s="275"/>
      <c r="G107" s="121"/>
      <c r="H107" s="139"/>
      <c r="J107" s="63"/>
      <c r="K107" s="63"/>
      <c r="L107" s="63"/>
      <c r="M107" s="63"/>
      <c r="N107" s="63"/>
      <c r="O107" s="63"/>
      <c r="P107" s="63"/>
      <c r="Q107" s="63"/>
      <c r="R107" s="175"/>
      <c r="S107" s="63"/>
    </row>
    <row r="108" spans="1:19" ht="14.1" customHeight="1" x14ac:dyDescent="0.2">
      <c r="A108" s="440" t="s">
        <v>178</v>
      </c>
      <c r="B108" s="441"/>
      <c r="C108" s="66">
        <f>((1%*M14)/12)*L71</f>
        <v>3500</v>
      </c>
      <c r="D108" s="120">
        <f t="shared" si="15"/>
        <v>2.1875</v>
      </c>
      <c r="E108" s="121">
        <f t="shared" si="16"/>
        <v>3500</v>
      </c>
      <c r="F108" s="275"/>
      <c r="G108" s="121"/>
      <c r="H108" s="139"/>
      <c r="J108" s="63"/>
      <c r="K108" s="63"/>
      <c r="L108" s="63"/>
      <c r="M108" s="63"/>
      <c r="N108" s="63"/>
      <c r="O108" s="63"/>
      <c r="P108" s="63"/>
      <c r="Q108" s="63"/>
      <c r="R108" s="175"/>
      <c r="S108" s="63"/>
    </row>
    <row r="109" spans="1:19" ht="14.1" customHeight="1" x14ac:dyDescent="0.2">
      <c r="A109" s="440" t="s">
        <v>180</v>
      </c>
      <c r="B109" s="441"/>
      <c r="C109" s="66">
        <v>8500</v>
      </c>
      <c r="D109" s="120">
        <f t="shared" si="15"/>
        <v>5.3125</v>
      </c>
      <c r="E109" s="121">
        <f t="shared" si="16"/>
        <v>8500</v>
      </c>
      <c r="F109" s="275"/>
      <c r="G109" s="121"/>
      <c r="H109" s="139"/>
      <c r="J109" s="63"/>
      <c r="K109" s="63"/>
      <c r="L109" s="63"/>
      <c r="M109" s="63"/>
      <c r="N109" s="63"/>
      <c r="O109" s="63"/>
      <c r="P109" s="63"/>
      <c r="Q109" s="63"/>
      <c r="R109" s="175"/>
      <c r="S109" s="63"/>
    </row>
    <row r="110" spans="1:19" ht="14.1" customHeight="1" x14ac:dyDescent="0.2">
      <c r="A110" s="440" t="s">
        <v>182</v>
      </c>
      <c r="B110" s="441"/>
      <c r="C110" s="66">
        <v>5000</v>
      </c>
      <c r="D110" s="120">
        <f t="shared" si="15"/>
        <v>3.125</v>
      </c>
      <c r="E110" s="121">
        <f t="shared" si="16"/>
        <v>5000</v>
      </c>
      <c r="F110" s="275"/>
      <c r="G110" s="121"/>
      <c r="H110" s="139"/>
      <c r="J110" s="63"/>
      <c r="K110" s="63"/>
      <c r="L110" s="63"/>
      <c r="M110" s="63"/>
      <c r="N110" s="63"/>
      <c r="O110" s="63"/>
      <c r="P110" s="63"/>
      <c r="Q110" s="63"/>
      <c r="R110" s="175"/>
      <c r="S110" s="63"/>
    </row>
    <row r="111" spans="1:19" ht="14.1" customHeight="1" x14ac:dyDescent="0.2">
      <c r="A111" s="440" t="s">
        <v>184</v>
      </c>
      <c r="B111" s="441"/>
      <c r="C111" s="66">
        <v>3000</v>
      </c>
      <c r="D111" s="120">
        <f t="shared" si="15"/>
        <v>1.875</v>
      </c>
      <c r="E111" s="121">
        <f t="shared" si="16"/>
        <v>3000</v>
      </c>
      <c r="F111" s="275"/>
      <c r="G111" s="121"/>
      <c r="H111" s="139"/>
      <c r="J111" s="63"/>
      <c r="K111" s="63"/>
      <c r="L111" s="63"/>
      <c r="M111" s="63"/>
      <c r="N111" s="63"/>
      <c r="O111" s="63"/>
      <c r="P111" s="63"/>
      <c r="Q111" s="63"/>
      <c r="R111" s="175"/>
      <c r="S111" s="63"/>
    </row>
    <row r="112" spans="1:19" ht="14.1" customHeight="1" x14ac:dyDescent="0.2">
      <c r="A112" s="440" t="s">
        <v>186</v>
      </c>
      <c r="B112" s="441"/>
      <c r="C112" s="66">
        <f>K4*1000</f>
        <v>1000</v>
      </c>
      <c r="D112" s="120">
        <f t="shared" si="15"/>
        <v>0.625</v>
      </c>
      <c r="E112" s="121">
        <f t="shared" si="16"/>
        <v>1000</v>
      </c>
      <c r="F112" s="275"/>
      <c r="G112" s="121"/>
      <c r="H112" s="139"/>
      <c r="J112" s="63"/>
      <c r="K112" s="63"/>
      <c r="L112" s="63"/>
      <c r="M112" s="63"/>
      <c r="N112" s="63"/>
      <c r="O112" s="63"/>
      <c r="P112" s="63"/>
      <c r="Q112" s="63"/>
      <c r="R112" s="175"/>
      <c r="S112" s="63"/>
    </row>
    <row r="113" spans="1:19" ht="14.1" customHeight="1" x14ac:dyDescent="0.2">
      <c r="A113" s="299" t="s">
        <v>311</v>
      </c>
      <c r="B113" s="300"/>
      <c r="C113" s="243">
        <f>K4*6500-13000</f>
        <v>-6500</v>
      </c>
      <c r="D113" s="120">
        <f t="shared" si="15"/>
        <v>-4.0625</v>
      </c>
      <c r="E113" s="121">
        <f t="shared" si="16"/>
        <v>-6500</v>
      </c>
      <c r="F113" s="275"/>
      <c r="G113" s="121"/>
      <c r="H113" s="244"/>
      <c r="J113" s="63"/>
      <c r="K113" s="63"/>
      <c r="L113" s="63"/>
      <c r="M113" s="63"/>
      <c r="N113" s="63"/>
      <c r="O113" s="63"/>
      <c r="P113" s="63"/>
      <c r="Q113" s="63"/>
      <c r="R113" s="175"/>
      <c r="S113" s="63"/>
    </row>
    <row r="114" spans="1:19" ht="14.1" customHeight="1" x14ac:dyDescent="0.2">
      <c r="A114" s="299" t="s">
        <v>356</v>
      </c>
      <c r="B114" s="300"/>
      <c r="C114" s="256">
        <v>10000</v>
      </c>
      <c r="D114" s="120">
        <f t="shared" si="15"/>
        <v>6.25</v>
      </c>
      <c r="E114" s="121">
        <f t="shared" si="16"/>
        <v>10000</v>
      </c>
      <c r="F114" s="275"/>
      <c r="G114" s="121"/>
      <c r="H114" s="244"/>
      <c r="J114" s="63"/>
      <c r="K114" s="63"/>
      <c r="L114" s="63"/>
      <c r="M114" s="63"/>
      <c r="N114" s="63"/>
      <c r="O114" s="63"/>
      <c r="P114" s="63"/>
      <c r="Q114" s="63"/>
      <c r="R114" s="175"/>
      <c r="S114" s="63"/>
    </row>
    <row r="115" spans="1:19" ht="14.1" customHeight="1" x14ac:dyDescent="0.2">
      <c r="A115" s="296" t="s">
        <v>147</v>
      </c>
      <c r="B115" s="297"/>
      <c r="C115" s="243"/>
      <c r="D115" s="244">
        <f t="shared" si="15"/>
        <v>0</v>
      </c>
      <c r="E115" s="199">
        <f t="shared" si="16"/>
        <v>0</v>
      </c>
      <c r="F115" s="277"/>
      <c r="G115" s="199"/>
      <c r="H115" s="244"/>
      <c r="J115" s="63"/>
      <c r="K115" s="63"/>
      <c r="L115" s="63"/>
      <c r="M115" s="63"/>
      <c r="N115" s="63"/>
      <c r="O115" s="63"/>
      <c r="P115" s="63"/>
      <c r="Q115" s="63"/>
      <c r="R115" s="175"/>
      <c r="S115" s="63"/>
    </row>
    <row r="116" spans="1:19" ht="14.1" customHeight="1" thickBot="1" x14ac:dyDescent="0.25">
      <c r="A116" s="453" t="s">
        <v>147</v>
      </c>
      <c r="B116" s="454"/>
      <c r="C116" s="159">
        <v>0</v>
      </c>
      <c r="D116" s="160">
        <f t="shared" si="15"/>
        <v>0</v>
      </c>
      <c r="E116" s="200">
        <f t="shared" si="16"/>
        <v>0</v>
      </c>
      <c r="F116" s="278"/>
      <c r="G116" s="200"/>
      <c r="H116" s="160"/>
      <c r="J116" s="63"/>
      <c r="K116" s="63"/>
      <c r="L116" s="63"/>
      <c r="M116" s="63"/>
      <c r="N116" s="63"/>
      <c r="O116" s="63"/>
      <c r="P116" s="63"/>
      <c r="Q116" s="63"/>
      <c r="R116" s="175"/>
      <c r="S116" s="63"/>
    </row>
    <row r="117" spans="1:19" ht="14.1" customHeight="1" thickTop="1" x14ac:dyDescent="0.2">
      <c r="A117" s="455" t="s">
        <v>190</v>
      </c>
      <c r="B117" s="456"/>
      <c r="C117" s="123">
        <f>SUM(C93:C116)</f>
        <v>71985.274619999997</v>
      </c>
      <c r="D117" s="161">
        <f>SUM(D93:D116)</f>
        <v>44.990796637499997</v>
      </c>
      <c r="E117" s="123">
        <f>SUM(E93:E116)</f>
        <v>71985.274619999997</v>
      </c>
      <c r="F117" s="123"/>
      <c r="G117" s="123"/>
      <c r="H117" s="161">
        <f>SUM(H93:H115)</f>
        <v>0</v>
      </c>
      <c r="J117" s="63"/>
      <c r="K117" s="63"/>
      <c r="L117" s="63"/>
      <c r="M117" s="63"/>
      <c r="N117" s="63"/>
      <c r="O117" s="63"/>
      <c r="P117" s="63"/>
      <c r="Q117" s="63"/>
      <c r="R117" s="175"/>
      <c r="S117" s="63"/>
    </row>
    <row r="118" spans="1:19" ht="14.1" customHeight="1" x14ac:dyDescent="0.2">
      <c r="A118" s="302" t="s">
        <v>151</v>
      </c>
      <c r="B118" s="303"/>
      <c r="C118" s="111">
        <v>0</v>
      </c>
      <c r="D118" s="120">
        <f>C118/$K$3</f>
        <v>0</v>
      </c>
      <c r="E118" s="121">
        <f>C118/$K$4</f>
        <v>0</v>
      </c>
      <c r="F118" s="275"/>
      <c r="G118" s="121"/>
      <c r="H118" s="120">
        <v>0</v>
      </c>
      <c r="J118" s="63"/>
      <c r="K118" s="63"/>
      <c r="L118" s="63"/>
      <c r="M118" s="63"/>
      <c r="N118" s="63"/>
      <c r="O118" s="63"/>
      <c r="P118" s="63"/>
      <c r="Q118" s="63"/>
      <c r="R118" s="175"/>
      <c r="S118" s="63"/>
    </row>
    <row r="119" spans="1:19" ht="14.1" customHeight="1" x14ac:dyDescent="0.2">
      <c r="A119" s="162" t="s">
        <v>192</v>
      </c>
      <c r="B119" s="162"/>
      <c r="C119" s="163">
        <f>SUM(C117:C118)+C91</f>
        <v>436363.99711999996</v>
      </c>
      <c r="D119" s="164">
        <f>C119/K3</f>
        <v>272.72749819999996</v>
      </c>
      <c r="E119" s="163">
        <f>C119/K4</f>
        <v>436363.99711999996</v>
      </c>
      <c r="F119" s="251"/>
      <c r="G119" s="251"/>
      <c r="H119" s="164">
        <f>H118+H117+H91</f>
        <v>0</v>
      </c>
      <c r="J119" s="63"/>
      <c r="K119" s="63"/>
      <c r="L119" s="63"/>
      <c r="M119" s="63"/>
      <c r="N119" s="63"/>
      <c r="O119" s="63"/>
      <c r="P119" s="63"/>
      <c r="Q119" s="63"/>
      <c r="R119" s="175"/>
      <c r="S119" s="63"/>
    </row>
    <row r="120" spans="1:19" ht="14.1" customHeight="1" x14ac:dyDescent="0.2">
      <c r="J120" s="63"/>
      <c r="K120" s="63"/>
      <c r="L120" s="63"/>
      <c r="M120" s="63"/>
      <c r="N120" s="63"/>
      <c r="O120" s="63"/>
      <c r="P120" s="63"/>
      <c r="Q120" s="63"/>
      <c r="R120" s="175"/>
      <c r="S120" s="63"/>
    </row>
    <row r="121" spans="1:19" ht="14.1" customHeight="1" x14ac:dyDescent="0.2">
      <c r="C121" s="49"/>
      <c r="D121" s="49"/>
      <c r="E121" s="49"/>
      <c r="F121" s="49"/>
      <c r="G121" s="49"/>
      <c r="J121" s="63"/>
      <c r="K121" s="63"/>
      <c r="L121" s="63"/>
      <c r="M121" s="63"/>
      <c r="N121" s="63"/>
      <c r="O121" s="63"/>
      <c r="P121" s="63"/>
      <c r="Q121" s="63"/>
      <c r="R121" s="175"/>
      <c r="S121" s="63"/>
    </row>
    <row r="122" spans="1:19" ht="14.1" customHeight="1" x14ac:dyDescent="0.2">
      <c r="A122" s="169" t="s">
        <v>200</v>
      </c>
      <c r="B122" s="59"/>
      <c r="C122" s="59"/>
      <c r="D122" s="59"/>
      <c r="E122" s="49"/>
      <c r="F122" s="49"/>
      <c r="G122" s="49"/>
      <c r="H122" s="49"/>
      <c r="J122" s="63"/>
      <c r="K122" s="63"/>
      <c r="L122" s="63"/>
      <c r="M122" s="63"/>
      <c r="N122" s="63"/>
      <c r="O122" s="63"/>
      <c r="P122" s="63"/>
      <c r="Q122" s="63"/>
      <c r="R122" s="175"/>
      <c r="S122" s="63"/>
    </row>
    <row r="123" spans="1:19" ht="14.1" customHeight="1" x14ac:dyDescent="0.2">
      <c r="C123" s="49"/>
      <c r="D123" s="49"/>
      <c r="E123" s="49"/>
      <c r="F123" s="49"/>
      <c r="G123" s="49"/>
      <c r="H123" s="49"/>
      <c r="J123" s="63"/>
      <c r="K123" s="63"/>
      <c r="L123" s="63"/>
      <c r="M123" s="63"/>
      <c r="N123" s="63"/>
      <c r="O123" s="63"/>
      <c r="P123" s="63"/>
      <c r="Q123" s="63"/>
      <c r="R123" s="175"/>
      <c r="S123" s="63"/>
    </row>
    <row r="124" spans="1:19" ht="14.1" customHeight="1" x14ac:dyDescent="0.2">
      <c r="J124" s="63"/>
      <c r="K124" s="63"/>
      <c r="L124" s="63"/>
      <c r="M124" s="63"/>
      <c r="N124" s="63"/>
      <c r="O124" s="63"/>
      <c r="P124" s="63"/>
      <c r="Q124" s="63"/>
      <c r="R124" s="175"/>
      <c r="S124" s="63"/>
    </row>
    <row r="125" spans="1:19" ht="14.1" customHeight="1" x14ac:dyDescent="0.2">
      <c r="A125" s="170" t="s">
        <v>204</v>
      </c>
      <c r="B125" s="170"/>
      <c r="C125" s="170"/>
      <c r="D125" s="170"/>
      <c r="E125" s="170"/>
      <c r="F125" s="170"/>
      <c r="G125" s="170"/>
      <c r="H125" s="170"/>
      <c r="J125" s="63"/>
      <c r="K125" s="63"/>
      <c r="L125" s="63"/>
      <c r="M125" s="63"/>
      <c r="N125" s="63"/>
      <c r="O125" s="63"/>
      <c r="P125" s="63"/>
      <c r="Q125" s="63"/>
      <c r="R125" s="175"/>
      <c r="S125" s="63"/>
    </row>
    <row r="126" spans="1:19" ht="14.1" customHeight="1" x14ac:dyDescent="0.2">
      <c r="A126" s="100"/>
      <c r="B126" s="100"/>
      <c r="C126" s="100"/>
      <c r="D126" s="100"/>
      <c r="E126" s="171" t="s">
        <v>61</v>
      </c>
      <c r="F126" s="171"/>
      <c r="G126" s="171"/>
      <c r="H126" s="171"/>
      <c r="J126" s="63"/>
      <c r="K126" s="63"/>
      <c r="L126" s="63"/>
      <c r="M126" s="63"/>
      <c r="N126" s="63"/>
      <c r="O126" s="63"/>
      <c r="P126" s="63"/>
      <c r="Q126" s="63"/>
      <c r="R126" s="175"/>
      <c r="S126" s="63"/>
    </row>
    <row r="127" spans="1:19" ht="14.1" customHeight="1" x14ac:dyDescent="0.2">
      <c r="J127" s="63"/>
      <c r="K127" s="63"/>
      <c r="L127" s="63"/>
      <c r="M127" s="63"/>
      <c r="N127" s="63"/>
      <c r="O127" s="63"/>
      <c r="P127" s="63"/>
      <c r="Q127" s="63"/>
      <c r="R127" s="175"/>
      <c r="S127" s="63"/>
    </row>
    <row r="128" spans="1:19" ht="14.1" customHeight="1" x14ac:dyDescent="0.2">
      <c r="A128" s="172"/>
      <c r="B128" s="172"/>
      <c r="C128" s="172"/>
      <c r="D128" s="172"/>
      <c r="E128" s="172"/>
      <c r="F128" s="172"/>
      <c r="G128" s="172"/>
      <c r="H128" s="172"/>
      <c r="J128" s="63"/>
      <c r="K128" s="63"/>
      <c r="L128" s="63"/>
      <c r="M128" s="63"/>
      <c r="N128" s="63"/>
      <c r="O128" s="63"/>
      <c r="P128" s="63"/>
      <c r="Q128" s="63"/>
      <c r="R128" s="175"/>
      <c r="S128" s="63"/>
    </row>
    <row r="129" spans="1:19" ht="14.1" customHeight="1" x14ac:dyDescent="0.2">
      <c r="A129" s="174" t="s">
        <v>208</v>
      </c>
      <c r="B129" s="174"/>
      <c r="C129" s="174"/>
      <c r="D129" s="174"/>
      <c r="E129" s="174" t="s">
        <v>209</v>
      </c>
      <c r="F129" s="174"/>
      <c r="G129" s="174"/>
      <c r="H129" s="174"/>
      <c r="J129" s="63"/>
      <c r="K129" s="63"/>
      <c r="L129" s="63"/>
      <c r="M129" s="63"/>
      <c r="N129" s="63"/>
      <c r="O129" s="63"/>
      <c r="P129" s="63"/>
      <c r="Q129" s="63"/>
      <c r="R129" s="175"/>
      <c r="S129" s="63"/>
    </row>
    <row r="130" spans="1:19" ht="14.1" customHeight="1" x14ac:dyDescent="0.2">
      <c r="J130" s="63"/>
      <c r="K130" s="63"/>
      <c r="L130" s="63"/>
      <c r="M130" s="63"/>
      <c r="N130" s="63"/>
      <c r="O130" s="63"/>
      <c r="P130" s="63"/>
      <c r="Q130" s="63"/>
      <c r="R130" s="175"/>
      <c r="S130" s="63"/>
    </row>
    <row r="131" spans="1:19" ht="14.1" customHeight="1" x14ac:dyDescent="0.2">
      <c r="A131" s="63"/>
      <c r="B131" s="63"/>
      <c r="C131" s="63"/>
      <c r="D131" s="63"/>
      <c r="E131" s="63"/>
      <c r="F131" s="63"/>
      <c r="G131" s="63"/>
      <c r="H131" s="175"/>
      <c r="J131" s="63"/>
      <c r="K131" s="63"/>
      <c r="L131" s="63"/>
      <c r="M131" s="63"/>
      <c r="N131" s="63"/>
      <c r="O131" s="63"/>
      <c r="P131" s="63"/>
      <c r="Q131" s="63"/>
      <c r="R131" s="175"/>
      <c r="S131" s="63"/>
    </row>
    <row r="132" spans="1:19" ht="14.1" customHeight="1" x14ac:dyDescent="0.2">
      <c r="A132" s="63"/>
      <c r="B132" s="63"/>
      <c r="C132" s="63"/>
      <c r="D132" s="63"/>
      <c r="E132" s="63"/>
      <c r="F132" s="63"/>
      <c r="G132" s="63"/>
      <c r="H132" s="175"/>
      <c r="J132" s="63"/>
      <c r="K132" s="63"/>
      <c r="L132" s="63"/>
      <c r="M132" s="63"/>
      <c r="N132" s="63"/>
      <c r="O132" s="63"/>
      <c r="P132" s="63"/>
      <c r="Q132" s="63"/>
      <c r="R132" s="175"/>
      <c r="S132" s="63"/>
    </row>
    <row r="133" spans="1:19" ht="14.1" customHeight="1" x14ac:dyDescent="0.2">
      <c r="A133" s="63"/>
      <c r="B133" s="63"/>
      <c r="C133" s="63"/>
      <c r="D133" s="63"/>
      <c r="E133" s="63"/>
      <c r="F133" s="63"/>
      <c r="G133" s="63"/>
      <c r="H133" s="175"/>
      <c r="J133" s="63"/>
      <c r="K133" s="63"/>
      <c r="L133" s="63"/>
      <c r="M133" s="63"/>
      <c r="N133" s="63"/>
      <c r="O133" s="63"/>
      <c r="P133" s="63"/>
      <c r="Q133" s="63"/>
      <c r="R133" s="175"/>
      <c r="S133" s="63"/>
    </row>
    <row r="134" spans="1:19" ht="14.1" customHeight="1" x14ac:dyDescent="0.2">
      <c r="A134" s="63"/>
      <c r="B134" s="63"/>
      <c r="C134" s="63"/>
      <c r="D134" s="63"/>
      <c r="E134" s="63"/>
      <c r="F134" s="63"/>
      <c r="G134" s="63"/>
      <c r="H134" s="175"/>
      <c r="J134" s="63"/>
      <c r="K134" s="63"/>
      <c r="L134" s="63"/>
      <c r="M134" s="63"/>
      <c r="N134" s="63"/>
      <c r="O134" s="63"/>
      <c r="P134" s="63"/>
      <c r="Q134" s="63"/>
      <c r="R134" s="175"/>
      <c r="S134" s="63"/>
    </row>
    <row r="135" spans="1:19" ht="14.1" customHeight="1" x14ac:dyDescent="0.2">
      <c r="J135" s="63"/>
      <c r="K135" s="63"/>
      <c r="L135" s="63"/>
      <c r="M135" s="63"/>
      <c r="N135" s="63"/>
      <c r="O135" s="63"/>
      <c r="P135" s="63"/>
      <c r="Q135" s="63"/>
      <c r="R135" s="175"/>
      <c r="S135" s="63"/>
    </row>
    <row r="136" spans="1:19" ht="14.1" customHeight="1" x14ac:dyDescent="0.2">
      <c r="J136" s="63"/>
      <c r="K136" s="63"/>
      <c r="L136" s="63"/>
      <c r="M136" s="63"/>
      <c r="N136" s="63"/>
      <c r="O136" s="63"/>
      <c r="P136" s="63"/>
      <c r="Q136" s="63"/>
      <c r="R136" s="175"/>
      <c r="S136" s="63"/>
    </row>
    <row r="137" spans="1:19" ht="14.1" customHeight="1" x14ac:dyDescent="0.2">
      <c r="A137" s="63"/>
      <c r="B137" s="63"/>
      <c r="C137" s="63"/>
      <c r="D137" s="63"/>
      <c r="E137" s="63"/>
      <c r="F137" s="63"/>
      <c r="G137" s="63"/>
      <c r="H137" s="175"/>
      <c r="J137" s="63"/>
      <c r="K137" s="63"/>
      <c r="L137" s="63"/>
      <c r="M137" s="63"/>
      <c r="N137" s="63"/>
      <c r="O137" s="63"/>
      <c r="P137" s="63"/>
      <c r="Q137" s="63"/>
      <c r="R137" s="175"/>
      <c r="S137" s="63"/>
    </row>
    <row r="138" spans="1:19" ht="14.1" customHeight="1" x14ac:dyDescent="0.2">
      <c r="A138" s="63"/>
      <c r="B138" s="63"/>
      <c r="C138" s="63"/>
      <c r="D138" s="63"/>
      <c r="E138" s="63"/>
      <c r="F138" s="63"/>
      <c r="G138" s="63"/>
      <c r="H138" s="175"/>
      <c r="J138" s="63"/>
      <c r="K138" s="63"/>
      <c r="L138" s="63"/>
      <c r="M138" s="63"/>
      <c r="N138" s="63"/>
      <c r="O138" s="63"/>
      <c r="P138" s="63"/>
      <c r="Q138" s="63"/>
      <c r="R138" s="175"/>
      <c r="S138" s="63"/>
    </row>
    <row r="139" spans="1:19" ht="14.1" customHeight="1" x14ac:dyDescent="0.2">
      <c r="A139" s="63"/>
      <c r="B139" s="63"/>
      <c r="C139" s="63"/>
      <c r="D139" s="63"/>
      <c r="E139" s="63"/>
      <c r="F139" s="63"/>
      <c r="G139" s="63"/>
      <c r="H139" s="175"/>
      <c r="J139" s="63"/>
      <c r="K139" s="63"/>
      <c r="L139" s="63"/>
      <c r="M139" s="63"/>
      <c r="N139" s="63"/>
      <c r="O139" s="63"/>
      <c r="P139" s="63"/>
      <c r="Q139" s="63"/>
      <c r="R139" s="175"/>
      <c r="S139" s="63"/>
    </row>
    <row r="140" spans="1:19" ht="14.1" customHeight="1" x14ac:dyDescent="0.2">
      <c r="A140" s="63"/>
      <c r="B140" s="63"/>
      <c r="C140" s="63"/>
      <c r="D140" s="63"/>
      <c r="E140" s="63"/>
      <c r="F140" s="63"/>
      <c r="G140" s="63"/>
      <c r="H140" s="175"/>
      <c r="J140" s="63"/>
      <c r="K140" s="63"/>
      <c r="L140" s="63"/>
      <c r="M140" s="63"/>
      <c r="N140" s="63"/>
      <c r="O140" s="63"/>
      <c r="P140" s="63"/>
      <c r="Q140" s="63"/>
      <c r="R140" s="175"/>
      <c r="S140" s="63"/>
    </row>
    <row r="141" spans="1:19" ht="14.1" customHeight="1" x14ac:dyDescent="0.2">
      <c r="A141" s="63"/>
      <c r="B141" s="63"/>
      <c r="C141" s="63"/>
      <c r="D141" s="63"/>
      <c r="E141" s="63"/>
      <c r="F141" s="63"/>
      <c r="G141" s="63"/>
      <c r="H141" s="175"/>
      <c r="J141" s="63"/>
      <c r="K141" s="63"/>
      <c r="L141" s="63"/>
      <c r="M141" s="63"/>
      <c r="N141" s="63"/>
      <c r="O141" s="63"/>
      <c r="P141" s="63"/>
      <c r="Q141" s="63"/>
      <c r="R141" s="175"/>
      <c r="S141" s="63"/>
    </row>
    <row r="142" spans="1:19" ht="14.1" customHeight="1" x14ac:dyDescent="0.2">
      <c r="A142" s="63"/>
      <c r="B142" s="63"/>
      <c r="C142" s="63"/>
      <c r="D142" s="63"/>
      <c r="E142" s="63"/>
      <c r="F142" s="63"/>
      <c r="G142" s="63"/>
      <c r="H142" s="175"/>
      <c r="J142" s="63"/>
      <c r="K142" s="63"/>
      <c r="L142" s="63"/>
      <c r="M142" s="63"/>
      <c r="N142" s="63"/>
      <c r="O142" s="63"/>
      <c r="P142" s="63"/>
      <c r="Q142" s="63"/>
      <c r="R142" s="175"/>
      <c r="S142" s="63"/>
    </row>
    <row r="143" spans="1:19" ht="14.1" customHeight="1" x14ac:dyDescent="0.2">
      <c r="A143" s="63"/>
      <c r="B143" s="63"/>
      <c r="C143" s="63"/>
      <c r="D143" s="63"/>
      <c r="E143" s="63"/>
      <c r="F143" s="63"/>
      <c r="G143" s="63"/>
      <c r="H143" s="175"/>
      <c r="J143" s="63"/>
      <c r="K143" s="63"/>
      <c r="L143" s="63"/>
      <c r="M143" s="63"/>
      <c r="N143" s="63"/>
      <c r="O143" s="63"/>
      <c r="P143" s="63"/>
      <c r="Q143" s="63"/>
      <c r="R143" s="175"/>
      <c r="S143" s="63"/>
    </row>
    <row r="144" spans="1:19" ht="14.1" customHeight="1" x14ac:dyDescent="0.2">
      <c r="A144" s="63"/>
      <c r="B144" s="63"/>
      <c r="C144" s="63"/>
      <c r="D144" s="63"/>
      <c r="E144" s="63"/>
      <c r="F144" s="63"/>
      <c r="G144" s="63"/>
      <c r="H144" s="175"/>
      <c r="J144" s="63"/>
      <c r="K144" s="63"/>
      <c r="L144" s="63"/>
      <c r="M144" s="63"/>
      <c r="N144" s="63"/>
      <c r="O144" s="63"/>
      <c r="P144" s="63"/>
      <c r="Q144" s="63"/>
      <c r="R144" s="175"/>
      <c r="S144" s="63"/>
    </row>
    <row r="145" spans="1:19" ht="14.1" customHeight="1" x14ac:dyDescent="0.2">
      <c r="A145" s="63"/>
      <c r="B145" s="63"/>
      <c r="C145" s="63"/>
      <c r="D145" s="63"/>
      <c r="E145" s="63"/>
      <c r="F145" s="63"/>
      <c r="G145" s="63"/>
      <c r="H145" s="175"/>
      <c r="J145" s="63"/>
      <c r="K145" s="63"/>
      <c r="L145" s="63"/>
      <c r="M145" s="63"/>
      <c r="N145" s="63"/>
      <c r="O145" s="63"/>
      <c r="P145" s="63"/>
      <c r="Q145" s="63"/>
      <c r="R145" s="175"/>
      <c r="S145" s="63"/>
    </row>
    <row r="146" spans="1:19" ht="14.1" customHeight="1" x14ac:dyDescent="0.2">
      <c r="A146" s="63"/>
      <c r="B146" s="63"/>
      <c r="C146" s="63"/>
      <c r="D146" s="63"/>
      <c r="E146" s="63"/>
      <c r="F146" s="63"/>
      <c r="G146" s="63"/>
      <c r="H146" s="175"/>
      <c r="J146" s="63"/>
      <c r="K146" s="63"/>
      <c r="L146" s="63"/>
      <c r="M146" s="63"/>
      <c r="N146" s="63"/>
      <c r="O146" s="63"/>
      <c r="P146" s="63"/>
      <c r="Q146" s="63"/>
      <c r="R146" s="175"/>
      <c r="S146" s="63"/>
    </row>
    <row r="147" spans="1:19" ht="14.1" customHeight="1" x14ac:dyDescent="0.2">
      <c r="A147" s="63"/>
      <c r="B147" s="63"/>
      <c r="C147" s="63"/>
      <c r="D147" s="63"/>
      <c r="E147" s="63"/>
      <c r="F147" s="63"/>
      <c r="G147" s="63"/>
      <c r="H147" s="175"/>
      <c r="J147" s="63"/>
      <c r="K147" s="63"/>
      <c r="L147" s="63"/>
      <c r="M147" s="63"/>
      <c r="N147" s="63"/>
      <c r="O147" s="63"/>
      <c r="P147" s="63"/>
      <c r="Q147" s="63"/>
      <c r="R147" s="175"/>
      <c r="S147" s="63"/>
    </row>
    <row r="148" spans="1:19" ht="14.1" customHeight="1" x14ac:dyDescent="0.2">
      <c r="A148" s="63"/>
      <c r="B148" s="63"/>
      <c r="C148" s="63"/>
      <c r="D148" s="63"/>
      <c r="E148" s="63"/>
      <c r="F148" s="63"/>
      <c r="G148" s="63"/>
      <c r="H148" s="175"/>
      <c r="J148" s="63"/>
      <c r="K148" s="63"/>
      <c r="L148" s="63"/>
      <c r="M148" s="63"/>
      <c r="N148" s="63"/>
      <c r="O148" s="63"/>
      <c r="P148" s="63"/>
      <c r="Q148" s="63"/>
      <c r="R148" s="175"/>
      <c r="S148" s="63"/>
    </row>
    <row r="149" spans="1:19" ht="14.1" customHeight="1" x14ac:dyDescent="0.2">
      <c r="A149" s="63"/>
      <c r="B149" s="63"/>
      <c r="C149" s="63"/>
      <c r="D149" s="63"/>
      <c r="E149" s="63"/>
      <c r="F149" s="63"/>
      <c r="G149" s="63"/>
      <c r="H149" s="175"/>
      <c r="J149" s="63"/>
      <c r="K149" s="63"/>
      <c r="L149" s="63"/>
      <c r="M149" s="63"/>
      <c r="N149" s="63"/>
      <c r="O149" s="63"/>
      <c r="P149" s="63"/>
      <c r="Q149" s="63"/>
      <c r="R149" s="175"/>
      <c r="S149" s="63"/>
    </row>
    <row r="150" spans="1:19" ht="14.1" customHeight="1" x14ac:dyDescent="0.2">
      <c r="A150" s="63"/>
      <c r="B150" s="63"/>
      <c r="C150" s="63"/>
      <c r="D150" s="63"/>
      <c r="E150" s="63"/>
      <c r="F150" s="63"/>
      <c r="G150" s="63"/>
      <c r="H150" s="175"/>
      <c r="J150" s="63"/>
      <c r="K150" s="63"/>
      <c r="L150" s="63"/>
      <c r="M150" s="63"/>
      <c r="N150" s="63"/>
      <c r="O150" s="63"/>
      <c r="P150" s="63"/>
      <c r="Q150" s="63"/>
      <c r="R150" s="175"/>
      <c r="S150" s="63"/>
    </row>
    <row r="151" spans="1:19" ht="14.1" customHeight="1" x14ac:dyDescent="0.2">
      <c r="A151" s="63"/>
      <c r="B151" s="63"/>
      <c r="C151" s="63"/>
      <c r="D151" s="63"/>
      <c r="E151" s="63"/>
      <c r="F151" s="63"/>
      <c r="G151" s="63"/>
      <c r="H151" s="175"/>
      <c r="J151" s="63"/>
      <c r="K151" s="63"/>
      <c r="L151" s="63"/>
      <c r="M151" s="63"/>
      <c r="N151" s="63"/>
      <c r="O151" s="63"/>
      <c r="P151" s="63"/>
      <c r="Q151" s="63"/>
      <c r="R151" s="175"/>
      <c r="S151" s="63"/>
    </row>
    <row r="152" spans="1:19" ht="14.1" customHeight="1" x14ac:dyDescent="0.2">
      <c r="A152" s="63"/>
      <c r="B152" s="63"/>
      <c r="C152" s="63"/>
      <c r="D152" s="63"/>
      <c r="E152" s="63"/>
      <c r="F152" s="63"/>
      <c r="G152" s="63"/>
      <c r="H152" s="175"/>
      <c r="J152" s="63"/>
      <c r="K152" s="63"/>
      <c r="L152" s="63"/>
      <c r="M152" s="63"/>
      <c r="N152" s="63"/>
      <c r="O152" s="63"/>
      <c r="P152" s="63"/>
      <c r="Q152" s="63"/>
      <c r="R152" s="175"/>
      <c r="S152" s="63"/>
    </row>
    <row r="153" spans="1:19" ht="14.1" customHeight="1" x14ac:dyDescent="0.2">
      <c r="A153" s="63"/>
      <c r="B153" s="63"/>
      <c r="C153" s="63"/>
      <c r="D153" s="63"/>
      <c r="E153" s="63"/>
      <c r="F153" s="63"/>
      <c r="G153" s="63"/>
      <c r="H153" s="175"/>
      <c r="J153" s="63"/>
      <c r="K153" s="63"/>
      <c r="L153" s="63"/>
      <c r="M153" s="63"/>
      <c r="N153" s="63"/>
      <c r="O153" s="63"/>
      <c r="P153" s="63"/>
      <c r="Q153" s="63"/>
      <c r="R153" s="175"/>
      <c r="S153" s="63"/>
    </row>
    <row r="154" spans="1:19" ht="14.1" customHeight="1" x14ac:dyDescent="0.2">
      <c r="J154" s="63"/>
      <c r="K154" s="63"/>
      <c r="L154" s="63"/>
      <c r="M154" s="63"/>
      <c r="N154" s="63"/>
      <c r="O154" s="63"/>
      <c r="P154" s="63"/>
      <c r="Q154" s="63"/>
      <c r="R154" s="175"/>
      <c r="S154" s="63"/>
    </row>
    <row r="155" spans="1:19" ht="14.1" customHeight="1" x14ac:dyDescent="0.2">
      <c r="J155" s="63"/>
      <c r="K155" s="63"/>
      <c r="L155" s="63"/>
      <c r="M155" s="63"/>
      <c r="N155" s="63"/>
      <c r="O155" s="63"/>
      <c r="P155" s="63"/>
      <c r="Q155" s="63"/>
      <c r="R155" s="175"/>
      <c r="S155" s="63"/>
    </row>
    <row r="156" spans="1:19" ht="14.1" customHeight="1" x14ac:dyDescent="0.2">
      <c r="J156" s="63"/>
      <c r="K156" s="63"/>
      <c r="L156" s="63"/>
      <c r="M156" s="63"/>
      <c r="N156" s="63"/>
      <c r="O156" s="63"/>
      <c r="P156" s="63"/>
      <c r="Q156" s="63"/>
      <c r="R156" s="175"/>
      <c r="S156" s="63"/>
    </row>
    <row r="157" spans="1:19" ht="14.1" customHeight="1" x14ac:dyDescent="0.2">
      <c r="J157" s="63"/>
      <c r="K157" s="63"/>
      <c r="L157" s="63"/>
      <c r="M157" s="63"/>
      <c r="N157" s="63"/>
      <c r="O157" s="63"/>
      <c r="P157" s="63"/>
      <c r="Q157" s="63"/>
      <c r="R157" s="175"/>
      <c r="S157" s="63"/>
    </row>
    <row r="158" spans="1:19" ht="14.1" customHeight="1" x14ac:dyDescent="0.2">
      <c r="J158" s="63"/>
      <c r="K158" s="63"/>
      <c r="L158" s="63"/>
      <c r="M158" s="63"/>
      <c r="N158" s="63"/>
      <c r="O158" s="63"/>
      <c r="P158" s="63"/>
      <c r="Q158" s="63"/>
      <c r="R158" s="175"/>
      <c r="S158" s="63"/>
    </row>
    <row r="159" spans="1:19" ht="14.1" customHeight="1" x14ac:dyDescent="0.2">
      <c r="J159" s="63"/>
      <c r="K159" s="63"/>
      <c r="L159" s="63"/>
      <c r="M159" s="63"/>
      <c r="N159" s="63"/>
      <c r="O159" s="63"/>
      <c r="P159" s="63"/>
      <c r="Q159" s="63"/>
      <c r="R159" s="175"/>
      <c r="S159" s="63"/>
    </row>
    <row r="160" spans="1:19" ht="14.1" customHeight="1" x14ac:dyDescent="0.2">
      <c r="J160" s="63"/>
      <c r="K160" s="63"/>
      <c r="L160" s="63"/>
      <c r="M160" s="63"/>
      <c r="N160" s="63"/>
      <c r="O160" s="63"/>
      <c r="P160" s="63"/>
      <c r="Q160" s="63"/>
      <c r="R160" s="175"/>
      <c r="S160" s="63"/>
    </row>
    <row r="161" spans="10:19" ht="14.1" customHeight="1" x14ac:dyDescent="0.2">
      <c r="J161" s="63"/>
      <c r="K161" s="63"/>
      <c r="L161" s="63"/>
      <c r="M161" s="63"/>
      <c r="N161" s="63"/>
      <c r="O161" s="63"/>
      <c r="P161" s="63"/>
      <c r="Q161" s="63"/>
      <c r="R161" s="175"/>
      <c r="S161" s="63"/>
    </row>
    <row r="162" spans="10:19" ht="14.1" customHeight="1" x14ac:dyDescent="0.2">
      <c r="J162" s="63"/>
      <c r="K162" s="63"/>
      <c r="L162" s="63"/>
      <c r="M162" s="63"/>
      <c r="N162" s="63"/>
      <c r="O162" s="63"/>
      <c r="P162" s="63"/>
      <c r="Q162" s="63"/>
      <c r="R162" s="175"/>
      <c r="S162" s="63"/>
    </row>
    <row r="163" spans="10:19" ht="14.1" customHeight="1" x14ac:dyDescent="0.2">
      <c r="J163" s="63"/>
      <c r="K163" s="63"/>
      <c r="L163" s="63"/>
      <c r="M163" s="63"/>
      <c r="N163" s="63"/>
      <c r="O163" s="63"/>
      <c r="P163" s="63"/>
      <c r="Q163" s="63"/>
      <c r="R163" s="175"/>
      <c r="S163" s="63"/>
    </row>
    <row r="164" spans="10:19" ht="14.1" customHeight="1" x14ac:dyDescent="0.2">
      <c r="J164" s="63"/>
      <c r="K164" s="63"/>
      <c r="L164" s="63"/>
      <c r="M164" s="63"/>
      <c r="N164" s="63"/>
      <c r="O164" s="63"/>
      <c r="P164" s="63"/>
      <c r="Q164" s="63"/>
      <c r="R164" s="175"/>
      <c r="S164" s="63"/>
    </row>
    <row r="165" spans="10:19" ht="14.1" customHeight="1" x14ac:dyDescent="0.2">
      <c r="J165" s="63"/>
      <c r="K165" s="63"/>
      <c r="L165" s="63"/>
      <c r="M165" s="63"/>
      <c r="N165" s="63"/>
      <c r="O165" s="63"/>
      <c r="P165" s="63"/>
      <c r="Q165" s="63"/>
      <c r="R165" s="175"/>
      <c r="S165" s="63"/>
    </row>
    <row r="166" spans="10:19" ht="14.1" customHeight="1" x14ac:dyDescent="0.2">
      <c r="J166" s="63"/>
      <c r="K166" s="63"/>
      <c r="L166" s="63"/>
      <c r="M166" s="63"/>
      <c r="N166" s="63"/>
      <c r="O166" s="63"/>
      <c r="P166" s="63"/>
      <c r="Q166" s="63"/>
      <c r="R166" s="175"/>
      <c r="S166" s="63"/>
    </row>
    <row r="167" spans="10:19" ht="14.1" customHeight="1" x14ac:dyDescent="0.2">
      <c r="J167" s="63"/>
      <c r="K167" s="63"/>
      <c r="L167" s="63"/>
      <c r="M167" s="63"/>
      <c r="N167" s="63"/>
      <c r="O167" s="63"/>
      <c r="P167" s="63"/>
      <c r="Q167" s="63"/>
      <c r="R167" s="175"/>
      <c r="S167" s="63"/>
    </row>
    <row r="168" spans="10:19" ht="14.1" customHeight="1" x14ac:dyDescent="0.2">
      <c r="J168" s="63"/>
      <c r="K168" s="63"/>
      <c r="L168" s="63"/>
      <c r="M168" s="63"/>
      <c r="N168" s="63"/>
      <c r="O168" s="63"/>
      <c r="P168" s="63"/>
      <c r="Q168" s="63"/>
      <c r="R168" s="175"/>
      <c r="S168" s="63"/>
    </row>
    <row r="169" spans="10:19" ht="14.1" customHeight="1" x14ac:dyDescent="0.2">
      <c r="J169" s="63"/>
      <c r="K169" s="63"/>
      <c r="L169" s="63"/>
      <c r="M169" s="63"/>
      <c r="N169" s="63"/>
      <c r="O169" s="63"/>
      <c r="P169" s="63"/>
      <c r="Q169" s="63"/>
      <c r="R169" s="175"/>
      <c r="S169" s="63"/>
    </row>
    <row r="170" spans="10:19" ht="14.1" customHeight="1" x14ac:dyDescent="0.2">
      <c r="J170" s="63"/>
      <c r="K170" s="63"/>
      <c r="L170" s="63"/>
      <c r="M170" s="63"/>
      <c r="N170" s="63"/>
      <c r="O170" s="63"/>
      <c r="P170" s="63"/>
      <c r="Q170" s="63"/>
      <c r="R170" s="175"/>
      <c r="S170" s="63"/>
    </row>
    <row r="171" spans="10:19" ht="14.1" customHeight="1" x14ac:dyDescent="0.2">
      <c r="J171" s="63"/>
      <c r="K171" s="63"/>
      <c r="L171" s="63"/>
      <c r="M171" s="63"/>
      <c r="N171" s="63"/>
      <c r="O171" s="63"/>
      <c r="P171" s="63"/>
      <c r="Q171" s="63"/>
      <c r="R171" s="175"/>
      <c r="S171" s="63"/>
    </row>
    <row r="172" spans="10:19" ht="14.1" customHeight="1" x14ac:dyDescent="0.2">
      <c r="J172" s="63"/>
      <c r="K172" s="63"/>
      <c r="L172" s="63"/>
      <c r="M172" s="63"/>
      <c r="N172" s="63"/>
      <c r="O172" s="63"/>
      <c r="P172" s="63"/>
      <c r="Q172" s="63"/>
      <c r="R172" s="175"/>
      <c r="S172" s="63"/>
    </row>
    <row r="173" spans="10:19" ht="14.1" customHeight="1" x14ac:dyDescent="0.2">
      <c r="J173" s="63"/>
      <c r="K173" s="63"/>
      <c r="L173" s="63"/>
      <c r="M173" s="63"/>
      <c r="N173" s="63"/>
      <c r="O173" s="63"/>
      <c r="P173" s="63"/>
      <c r="Q173" s="63"/>
      <c r="R173" s="175"/>
      <c r="S173" s="63"/>
    </row>
    <row r="174" spans="10:19" ht="14.1" customHeight="1" x14ac:dyDescent="0.2">
      <c r="J174" s="63"/>
      <c r="K174" s="63"/>
      <c r="L174" s="63"/>
      <c r="M174" s="63"/>
      <c r="N174" s="63"/>
      <c r="O174" s="63"/>
      <c r="P174" s="63"/>
      <c r="Q174" s="63"/>
      <c r="R174" s="175"/>
      <c r="S174" s="63"/>
    </row>
    <row r="175" spans="10:19" ht="14.1" customHeight="1" x14ac:dyDescent="0.2">
      <c r="J175" s="63"/>
      <c r="K175" s="63"/>
      <c r="L175" s="63"/>
      <c r="M175" s="63"/>
      <c r="N175" s="63"/>
      <c r="O175" s="63"/>
      <c r="P175" s="63"/>
      <c r="Q175" s="63"/>
      <c r="R175" s="175"/>
      <c r="S175" s="63"/>
    </row>
    <row r="176" spans="10:19" ht="14.1" customHeight="1" x14ac:dyDescent="0.2">
      <c r="J176" s="63"/>
      <c r="K176" s="63"/>
      <c r="L176" s="63"/>
      <c r="M176" s="63"/>
      <c r="N176" s="63"/>
      <c r="O176" s="63"/>
      <c r="P176" s="63"/>
      <c r="Q176" s="63"/>
      <c r="R176" s="175"/>
      <c r="S176" s="63"/>
    </row>
    <row r="177" spans="10:19" ht="14.1" customHeight="1" x14ac:dyDescent="0.2">
      <c r="J177" s="63"/>
      <c r="K177" s="63"/>
      <c r="L177" s="63"/>
      <c r="M177" s="63"/>
      <c r="N177" s="63"/>
      <c r="O177" s="63"/>
      <c r="P177" s="63"/>
      <c r="Q177" s="63"/>
      <c r="R177" s="175"/>
      <c r="S177" s="63"/>
    </row>
    <row r="178" spans="10:19" ht="14.1" customHeight="1" x14ac:dyDescent="0.2">
      <c r="J178" s="63"/>
      <c r="K178" s="63"/>
      <c r="L178" s="63"/>
      <c r="M178" s="63"/>
      <c r="N178" s="63"/>
      <c r="O178" s="63"/>
      <c r="P178" s="63"/>
      <c r="Q178" s="63"/>
      <c r="R178" s="175"/>
      <c r="S178" s="63"/>
    </row>
    <row r="179" spans="10:19" ht="14.1" customHeight="1" x14ac:dyDescent="0.2">
      <c r="J179" s="63"/>
      <c r="K179" s="63"/>
      <c r="L179" s="63"/>
      <c r="M179" s="63"/>
      <c r="N179" s="63"/>
      <c r="O179" s="63"/>
      <c r="P179" s="63"/>
      <c r="Q179" s="63"/>
      <c r="R179" s="175"/>
      <c r="S179" s="63"/>
    </row>
    <row r="180" spans="10:19" ht="14.1" customHeight="1" x14ac:dyDescent="0.2">
      <c r="J180" s="63"/>
      <c r="K180" s="63"/>
      <c r="L180" s="63"/>
      <c r="M180" s="63"/>
      <c r="N180" s="63"/>
      <c r="O180" s="63"/>
      <c r="P180" s="63"/>
      <c r="Q180" s="63"/>
      <c r="R180" s="175"/>
      <c r="S180" s="63"/>
    </row>
    <row r="181" spans="10:19" ht="14.1" customHeight="1" x14ac:dyDescent="0.2">
      <c r="J181" s="63"/>
      <c r="K181" s="63"/>
      <c r="L181" s="63"/>
      <c r="M181" s="63"/>
      <c r="N181" s="63"/>
      <c r="O181" s="63"/>
      <c r="P181" s="63"/>
      <c r="Q181" s="63"/>
      <c r="R181" s="175"/>
      <c r="S181" s="63"/>
    </row>
    <row r="182" spans="10:19" ht="14.1" customHeight="1" x14ac:dyDescent="0.2">
      <c r="J182" s="63"/>
      <c r="K182" s="63"/>
      <c r="L182" s="63"/>
      <c r="M182" s="63"/>
      <c r="N182" s="63"/>
      <c r="O182" s="63"/>
      <c r="P182" s="63"/>
      <c r="Q182" s="63"/>
      <c r="R182" s="175"/>
      <c r="S182" s="63"/>
    </row>
    <row r="183" spans="10:19" ht="14.1" customHeight="1" x14ac:dyDescent="0.2">
      <c r="J183" s="63"/>
      <c r="K183" s="63"/>
      <c r="L183" s="63"/>
      <c r="M183" s="63"/>
      <c r="N183" s="63"/>
      <c r="O183" s="63"/>
      <c r="P183" s="63"/>
      <c r="Q183" s="63"/>
      <c r="R183" s="175"/>
      <c r="S183" s="63"/>
    </row>
    <row r="184" spans="10:19" ht="14.1" customHeight="1" x14ac:dyDescent="0.2">
      <c r="J184" s="63"/>
      <c r="K184" s="63"/>
      <c r="L184" s="63"/>
      <c r="M184" s="63"/>
      <c r="N184" s="63"/>
      <c r="O184" s="63"/>
      <c r="P184" s="63"/>
      <c r="Q184" s="63"/>
      <c r="R184" s="175"/>
      <c r="S184" s="63"/>
    </row>
    <row r="185" spans="10:19" ht="14.1" customHeight="1" x14ac:dyDescent="0.2">
      <c r="J185" s="63"/>
      <c r="K185" s="63"/>
      <c r="L185" s="63"/>
      <c r="M185" s="63"/>
      <c r="N185" s="63"/>
      <c r="O185" s="63"/>
      <c r="P185" s="63"/>
      <c r="Q185" s="63"/>
      <c r="R185" s="175"/>
      <c r="S185" s="63"/>
    </row>
    <row r="186" spans="10:19" ht="14.1" customHeight="1" x14ac:dyDescent="0.2">
      <c r="J186" s="63"/>
      <c r="K186" s="63"/>
      <c r="L186" s="63"/>
      <c r="M186" s="63"/>
      <c r="N186" s="63"/>
      <c r="O186" s="63"/>
      <c r="P186" s="63"/>
      <c r="Q186" s="63"/>
      <c r="R186" s="175"/>
      <c r="S186" s="63"/>
    </row>
    <row r="187" spans="10:19" x14ac:dyDescent="0.2">
      <c r="J187" s="63"/>
      <c r="K187" s="63"/>
      <c r="L187" s="63"/>
      <c r="M187" s="63"/>
      <c r="N187" s="63"/>
      <c r="O187" s="63"/>
      <c r="Q187" s="63"/>
      <c r="R187" s="175"/>
      <c r="S187" s="63"/>
    </row>
  </sheetData>
  <mergeCells count="106">
    <mergeCell ref="A112:B112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88:B88"/>
    <mergeCell ref="A91:B91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5:B65"/>
    <mergeCell ref="A66:B66"/>
    <mergeCell ref="A67:B67"/>
    <mergeCell ref="A68:B68"/>
    <mergeCell ref="J68:O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1:B41"/>
    <mergeCell ref="A42:B42"/>
    <mergeCell ref="A43:B43"/>
    <mergeCell ref="J43:O43"/>
    <mergeCell ref="A44:B44"/>
    <mergeCell ref="A45:B45"/>
    <mergeCell ref="A34:B34"/>
    <mergeCell ref="A35:B35"/>
    <mergeCell ref="A36:B36"/>
    <mergeCell ref="A37:B37"/>
    <mergeCell ref="A38:B38"/>
    <mergeCell ref="A40:B40"/>
    <mergeCell ref="A27:B27"/>
    <mergeCell ref="A29:B29"/>
    <mergeCell ref="A30:B30"/>
    <mergeCell ref="A31:B31"/>
    <mergeCell ref="A32:B32"/>
    <mergeCell ref="A33:B33"/>
    <mergeCell ref="A20:B20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B6:H6"/>
    <mergeCell ref="K6:L6"/>
    <mergeCell ref="N6:O6"/>
    <mergeCell ref="J9:O9"/>
    <mergeCell ref="A12:B12"/>
    <mergeCell ref="A13:B13"/>
    <mergeCell ref="B3:H3"/>
    <mergeCell ref="N3:O3"/>
    <mergeCell ref="B4:H4"/>
    <mergeCell ref="N4:O4"/>
    <mergeCell ref="B5:H5"/>
    <mergeCell ref="K5:L5"/>
    <mergeCell ref="N5:O5"/>
    <mergeCell ref="A14:B14"/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WRITE-UP</vt:lpstr>
      <vt:lpstr>PROFORMA - TH</vt:lpstr>
      <vt:lpstr>picklist data</vt:lpstr>
      <vt:lpstr>PROFORMA NEW SFR</vt:lpstr>
      <vt:lpstr>PROFORMA REHAB</vt:lpstr>
      <vt:lpstr>'WRITE-UP'!Print_Area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Loan Presentation</dc:title>
  <dc:creator>Dustin Dembeck</dc:creator>
  <cp:lastModifiedBy>Angela Ruland</cp:lastModifiedBy>
  <cp:lastPrinted>2020-03-27T20:32:48Z</cp:lastPrinted>
  <dcterms:created xsi:type="dcterms:W3CDTF">2018-10-12T15:40:24Z</dcterms:created>
  <dcterms:modified xsi:type="dcterms:W3CDTF">2022-03-01T19:43:28Z</dcterms:modified>
</cp:coreProperties>
</file>